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06_PRODAJA\01_SPLOŠNO_DIGITALNA POLICA\"/>
    </mc:Choice>
  </mc:AlternateContent>
  <xr:revisionPtr revIDLastSave="0" documentId="8_{3A2D3525-E146-44CE-BFE0-A27A4C5C3335}" xr6:coauthVersionLast="47" xr6:coauthVersionMax="47" xr10:uidLastSave="{00000000-0000-0000-0000-000000000000}"/>
  <bookViews>
    <workbookView xWindow="-120" yWindow="-120" windowWidth="29040" windowHeight="15720" tabRatio="722" activeTab="9" xr2:uid="{258F7A24-9DF8-4113-B4D5-9901831E95C3}"/>
  </bookViews>
  <sheets>
    <sheet name="Summary of order" sheetId="15" r:id="rId1"/>
    <sheet name="Ilusion Insert" sheetId="3" state="hidden" r:id="rId2"/>
    <sheet name="Ilusion Carbon look" sheetId="6" state="hidden" r:id="rId3"/>
    <sheet name="ILW_Ilusion Wood" sheetId="7" r:id="rId4"/>
    <sheet name="ILM_Ilusion Macros" sheetId="8" r:id="rId5"/>
    <sheet name="INW_Infinity Wood" sheetId="12" r:id="rId6"/>
    <sheet name="INH_Infinity Holds" sheetId="16" r:id="rId7"/>
    <sheet name="CW_Climb1 Wood" sheetId="11" r:id="rId8"/>
    <sheet name="CWL_Climb Well Line" sheetId="13" r:id="rId9"/>
    <sheet name="KL_Kidz Line" sheetId="14" r:id="rId10"/>
    <sheet name="PRICES" sheetId="17" state="hidden" r:id="rId11"/>
    <sheet name="eurofxref-daily" sheetId="20" state="hidden" r:id="rId12"/>
    <sheet name="Order" sheetId="4" state="hidden" r:id="rId13"/>
  </sheets>
  <externalReferences>
    <externalReference r:id="rId14"/>
    <externalReference r:id="rId15"/>
  </externalReferences>
  <definedNames>
    <definedName name="_xlnm._FilterDatabase" localSheetId="7" hidden="1">'CW_Climb1 Wood'!$B$6:$P$71</definedName>
    <definedName name="_xlnm._FilterDatabase" localSheetId="8" hidden="1">'CWL_Climb Well Line'!$B$6:$R$22</definedName>
    <definedName name="_xlnm._FilterDatabase" localSheetId="4" hidden="1">'ILM_Ilusion Macros'!$B$6:$P$51</definedName>
    <definedName name="_xlnm._FilterDatabase" localSheetId="2" hidden="1">'Ilusion Carbon look'!$A$5:$K$16</definedName>
    <definedName name="_xlnm._FilterDatabase" localSheetId="1" hidden="1">'Ilusion Insert'!$A$5:$K$25</definedName>
    <definedName name="_xlnm._FilterDatabase" localSheetId="3" hidden="1">'ILW_Ilusion Wood'!$B$6:$AB$40</definedName>
    <definedName name="_xlnm._FilterDatabase" localSheetId="6" hidden="1">'INH_Infinity Holds'!$B$6:$Q$34</definedName>
    <definedName name="_xlnm._FilterDatabase" localSheetId="5" hidden="1">'INW_Infinity Wood'!$B$6:$R$51</definedName>
    <definedName name="_xlnm._FilterDatabase" localSheetId="9" hidden="1">'KL_Kidz Line'!$B$6:$R$11</definedName>
    <definedName name="_xlnm._FilterDatabase" localSheetId="12" hidden="1">Order!$B$8:$F$93</definedName>
    <definedName name="EURCAD_Rate">#REF!</definedName>
    <definedName name="ExternalData_1" localSheetId="11" hidden="1">'eurofxref-daily'!$A$1:$A$2</definedName>
    <definedName name="_xlnm.Print_Area" localSheetId="7">'CW_Climb1 Wood'!$A$1:$AB$71</definedName>
    <definedName name="_xlnm.Print_Area" localSheetId="3">'ILW_Ilusion Wood'!$A$1:$AD$92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3" i="8" l="1"/>
  <c r="O25" i="13"/>
  <c r="K11" i="16"/>
  <c r="L11" i="16" s="1"/>
  <c r="J11" i="16"/>
  <c r="K26" i="16"/>
  <c r="L26" i="16" s="1"/>
  <c r="J26" i="16"/>
  <c r="K38" i="16"/>
  <c r="L38" i="16" s="1"/>
  <c r="J38" i="16"/>
  <c r="K57" i="16"/>
  <c r="L57" i="16" s="1"/>
  <c r="J57" i="16"/>
  <c r="K68" i="16"/>
  <c r="L68" i="16" s="1"/>
  <c r="J68" i="16"/>
  <c r="K83" i="16"/>
  <c r="L83" i="16" s="1"/>
  <c r="J83" i="16"/>
  <c r="K101" i="16"/>
  <c r="L101" i="16" s="1"/>
  <c r="J101" i="16"/>
  <c r="M123" i="8" a="1"/>
  <c r="M123" i="8" s="1"/>
  <c r="I9" i="14"/>
  <c r="N9" i="14" s="1" a="1"/>
  <c r="N9" i="14" s="1"/>
  <c r="I10" i="14"/>
  <c r="N10" i="14" s="1" a="1"/>
  <c r="N10" i="14" s="1"/>
  <c r="I11" i="14"/>
  <c r="N11" i="14" s="1" a="1"/>
  <c r="N11" i="14" s="1"/>
  <c r="I12" i="14"/>
  <c r="N12" i="14" s="1" a="1"/>
  <c r="N12" i="14" s="1"/>
  <c r="I8" i="14"/>
  <c r="N8" i="14" s="1" a="1"/>
  <c r="N8" i="14" s="1"/>
  <c r="I10" i="13"/>
  <c r="N10" i="13" s="1" a="1"/>
  <c r="N10" i="13" s="1"/>
  <c r="I11" i="13"/>
  <c r="N11" i="13" s="1" a="1"/>
  <c r="N11" i="13" s="1"/>
  <c r="I12" i="13"/>
  <c r="N12" i="13" s="1" a="1"/>
  <c r="N12" i="13" s="1"/>
  <c r="I13" i="13"/>
  <c r="N13" i="13" s="1" a="1"/>
  <c r="N13" i="13" s="1"/>
  <c r="I14" i="13"/>
  <c r="N14" i="13" s="1" a="1"/>
  <c r="N14" i="13" s="1"/>
  <c r="I15" i="13"/>
  <c r="N15" i="13" s="1" a="1"/>
  <c r="N15" i="13" s="1"/>
  <c r="I16" i="13"/>
  <c r="N16" i="13" s="1" a="1"/>
  <c r="N16" i="13" s="1"/>
  <c r="I17" i="13"/>
  <c r="N17" i="13" s="1" a="1"/>
  <c r="N17" i="13" s="1"/>
  <c r="I18" i="13"/>
  <c r="N18" i="13" s="1" a="1"/>
  <c r="N18" i="13" s="1"/>
  <c r="I19" i="13"/>
  <c r="N19" i="13" s="1" a="1"/>
  <c r="N19" i="13" s="1"/>
  <c r="I20" i="13"/>
  <c r="N20" i="13" s="1" a="1"/>
  <c r="N20" i="13" s="1"/>
  <c r="I21" i="13"/>
  <c r="N21" i="13" s="1" a="1"/>
  <c r="N21" i="13" s="1"/>
  <c r="I22" i="13"/>
  <c r="N22" i="13" s="1" a="1"/>
  <c r="N22" i="13" s="1"/>
  <c r="I24" i="13"/>
  <c r="N24" i="13" s="1" a="1"/>
  <c r="N24" i="13" s="1"/>
  <c r="O24" i="13" s="1"/>
  <c r="I9" i="13"/>
  <c r="N9" i="13" s="1" a="1"/>
  <c r="N9" i="13" s="1"/>
  <c r="J74" i="11"/>
  <c r="J75" i="11"/>
  <c r="K74" i="11"/>
  <c r="K75" i="11"/>
  <c r="N74" i="11"/>
  <c r="N75" i="11"/>
  <c r="O74" i="11"/>
  <c r="P74" i="11" s="1"/>
  <c r="O75" i="11"/>
  <c r="P75" i="11" s="1"/>
  <c r="Q4" i="11"/>
  <c r="H10" i="11"/>
  <c r="M10" i="11" s="1" a="1"/>
  <c r="M10" i="11" s="1"/>
  <c r="H11" i="11"/>
  <c r="M11" i="11" s="1" a="1"/>
  <c r="M11" i="11" s="1"/>
  <c r="H12" i="11"/>
  <c r="M12" i="11" s="1" a="1"/>
  <c r="M12" i="11" s="1"/>
  <c r="H13" i="11"/>
  <c r="M13" i="11" s="1" a="1"/>
  <c r="M13" i="11" s="1"/>
  <c r="H14" i="11"/>
  <c r="M14" i="11" s="1" a="1"/>
  <c r="M14" i="11" s="1"/>
  <c r="H15" i="11"/>
  <c r="M15" i="11" s="1" a="1"/>
  <c r="M15" i="11" s="1"/>
  <c r="H16" i="11"/>
  <c r="M16" i="11" s="1" a="1"/>
  <c r="M16" i="11" s="1"/>
  <c r="H17" i="11"/>
  <c r="M17" i="11" s="1" a="1"/>
  <c r="M17" i="11" s="1"/>
  <c r="H18" i="11"/>
  <c r="M18" i="11" s="1" a="1"/>
  <c r="M18" i="11" s="1"/>
  <c r="H19" i="11"/>
  <c r="M19" i="11" s="1" a="1"/>
  <c r="M19" i="11" s="1"/>
  <c r="H20" i="11"/>
  <c r="M20" i="11" s="1" a="1"/>
  <c r="M20" i="11" s="1"/>
  <c r="H21" i="11"/>
  <c r="M21" i="11" s="1" a="1"/>
  <c r="M21" i="11" s="1"/>
  <c r="H22" i="11"/>
  <c r="M22" i="11" s="1" a="1"/>
  <c r="M22" i="11" s="1"/>
  <c r="H23" i="11"/>
  <c r="M23" i="11" s="1" a="1"/>
  <c r="M23" i="11" s="1"/>
  <c r="H24" i="11"/>
  <c r="M24" i="11" s="1" a="1"/>
  <c r="M24" i="11" s="1"/>
  <c r="H25" i="11"/>
  <c r="M25" i="11" s="1" a="1"/>
  <c r="M25" i="11" s="1"/>
  <c r="H26" i="11"/>
  <c r="M26" i="11" s="1" a="1"/>
  <c r="M26" i="11" s="1"/>
  <c r="H27" i="11"/>
  <c r="M27" i="11" s="1" a="1"/>
  <c r="M27" i="11" s="1"/>
  <c r="H29" i="11"/>
  <c r="M29" i="11" s="1" a="1"/>
  <c r="M29" i="11" s="1"/>
  <c r="H30" i="11"/>
  <c r="M30" i="11" s="1" a="1"/>
  <c r="M30" i="11" s="1"/>
  <c r="H31" i="11"/>
  <c r="M31" i="11" s="1" a="1"/>
  <c r="M31" i="11" s="1"/>
  <c r="H32" i="11"/>
  <c r="M32" i="11" s="1" a="1"/>
  <c r="M32" i="11" s="1"/>
  <c r="H33" i="11"/>
  <c r="M33" i="11" s="1" a="1"/>
  <c r="M33" i="11" s="1"/>
  <c r="H34" i="11"/>
  <c r="M34" i="11" s="1" a="1"/>
  <c r="M34" i="11" s="1"/>
  <c r="H35" i="11"/>
  <c r="M35" i="11" s="1" a="1"/>
  <c r="M35" i="11" s="1"/>
  <c r="H36" i="11"/>
  <c r="M36" i="11" s="1" a="1"/>
  <c r="M36" i="11" s="1"/>
  <c r="H37" i="11"/>
  <c r="M37" i="11" s="1" a="1"/>
  <c r="M37" i="11" s="1"/>
  <c r="H38" i="11"/>
  <c r="M38" i="11" s="1" a="1"/>
  <c r="M38" i="11" s="1"/>
  <c r="H39" i="11"/>
  <c r="M39" i="11" s="1" a="1"/>
  <c r="M39" i="11" s="1"/>
  <c r="H40" i="11"/>
  <c r="M40" i="11" s="1" a="1"/>
  <c r="M40" i="11" s="1"/>
  <c r="H41" i="11"/>
  <c r="M41" i="11" s="1" a="1"/>
  <c r="M41" i="11" s="1"/>
  <c r="H42" i="11"/>
  <c r="M42" i="11" s="1" a="1"/>
  <c r="M42" i="11" s="1"/>
  <c r="H43" i="11"/>
  <c r="M43" i="11" s="1" a="1"/>
  <c r="M43" i="11" s="1"/>
  <c r="H44" i="11"/>
  <c r="M44" i="11" s="1" a="1"/>
  <c r="M44" i="11" s="1"/>
  <c r="H45" i="11"/>
  <c r="M45" i="11" s="1" a="1"/>
  <c r="M45" i="11" s="1"/>
  <c r="H46" i="11"/>
  <c r="M46" i="11" s="1" a="1"/>
  <c r="M46" i="11" s="1"/>
  <c r="H47" i="11"/>
  <c r="M47" i="11" s="1" a="1"/>
  <c r="M47" i="11" s="1"/>
  <c r="H48" i="11"/>
  <c r="M48" i="11" s="1" a="1"/>
  <c r="M48" i="11" s="1"/>
  <c r="H49" i="11"/>
  <c r="M49" i="11" s="1" a="1"/>
  <c r="M49" i="11" s="1"/>
  <c r="H51" i="11"/>
  <c r="M51" i="11" s="1" a="1"/>
  <c r="M51" i="11" s="1"/>
  <c r="H52" i="11"/>
  <c r="M52" i="11" s="1" a="1"/>
  <c r="M52" i="11" s="1"/>
  <c r="H53" i="11"/>
  <c r="M53" i="11" s="1" a="1"/>
  <c r="M53" i="11" s="1"/>
  <c r="H54" i="11"/>
  <c r="M54" i="11" s="1" a="1"/>
  <c r="M54" i="11" s="1"/>
  <c r="H55" i="11"/>
  <c r="M55" i="11" s="1" a="1"/>
  <c r="M55" i="11" s="1"/>
  <c r="H56" i="11"/>
  <c r="M56" i="11" s="1" a="1"/>
  <c r="M56" i="11" s="1"/>
  <c r="H58" i="11"/>
  <c r="M58" i="11" s="1" a="1"/>
  <c r="M58" i="11" s="1"/>
  <c r="H59" i="11"/>
  <c r="M59" i="11" s="1" a="1"/>
  <c r="M59" i="11" s="1"/>
  <c r="H60" i="11"/>
  <c r="M60" i="11" s="1" a="1"/>
  <c r="M60" i="11" s="1"/>
  <c r="H61" i="11"/>
  <c r="M61" i="11" s="1" a="1"/>
  <c r="M61" i="11" s="1"/>
  <c r="H62" i="11"/>
  <c r="M62" i="11" s="1" a="1"/>
  <c r="M62" i="11" s="1"/>
  <c r="H63" i="11"/>
  <c r="M63" i="11" s="1" a="1"/>
  <c r="M63" i="11" s="1"/>
  <c r="H65" i="11"/>
  <c r="M65" i="11" s="1" a="1"/>
  <c r="M65" i="11" s="1"/>
  <c r="H66" i="11"/>
  <c r="M66" i="11" s="1" a="1"/>
  <c r="M66" i="11" s="1"/>
  <c r="H67" i="11"/>
  <c r="M67" i="11" s="1" a="1"/>
  <c r="M67" i="11" s="1"/>
  <c r="H68" i="11"/>
  <c r="M68" i="11" s="1" a="1"/>
  <c r="M68" i="11" s="1"/>
  <c r="H69" i="11"/>
  <c r="M69" i="11" s="1" a="1"/>
  <c r="M69" i="11" s="1"/>
  <c r="H70" i="11"/>
  <c r="M70" i="11" s="1" a="1"/>
  <c r="M70" i="11" s="1"/>
  <c r="H71" i="11"/>
  <c r="M71" i="11" s="1" a="1"/>
  <c r="M71" i="11" s="1"/>
  <c r="H72" i="11"/>
  <c r="H73" i="11"/>
  <c r="H74" i="11"/>
  <c r="H75" i="11"/>
  <c r="H9" i="11"/>
  <c r="M9" i="11" s="1" a="1"/>
  <c r="M9" i="11" s="1"/>
  <c r="H10" i="16"/>
  <c r="M10" i="16" s="1" a="1"/>
  <c r="M10" i="16" s="1"/>
  <c r="H12" i="16"/>
  <c r="M12" i="16" s="1" a="1"/>
  <c r="M12" i="16" s="1"/>
  <c r="H13" i="16"/>
  <c r="M13" i="16" s="1" a="1"/>
  <c r="M13" i="16" s="1"/>
  <c r="H14" i="16"/>
  <c r="M14" i="16" s="1" a="1"/>
  <c r="M14" i="16" s="1"/>
  <c r="H15" i="16"/>
  <c r="M15" i="16" s="1" a="1"/>
  <c r="M15" i="16" s="1"/>
  <c r="H16" i="16"/>
  <c r="M16" i="16" s="1" a="1"/>
  <c r="M16" i="16" s="1"/>
  <c r="H17" i="16"/>
  <c r="M17" i="16" s="1" a="1"/>
  <c r="M17" i="16" s="1"/>
  <c r="H18" i="16"/>
  <c r="M18" i="16" s="1" a="1"/>
  <c r="M18" i="16" s="1"/>
  <c r="H19" i="16"/>
  <c r="M19" i="16" s="1" a="1"/>
  <c r="M19" i="16" s="1"/>
  <c r="H20" i="16"/>
  <c r="M20" i="16" s="1" a="1"/>
  <c r="M20" i="16" s="1"/>
  <c r="H21" i="16"/>
  <c r="M21" i="16" s="1" a="1"/>
  <c r="M21" i="16" s="1"/>
  <c r="H22" i="16"/>
  <c r="M22" i="16" s="1" a="1"/>
  <c r="M22" i="16" s="1"/>
  <c r="H23" i="16"/>
  <c r="M23" i="16" s="1" a="1"/>
  <c r="M23" i="16" s="1"/>
  <c r="H24" i="16"/>
  <c r="M24" i="16" s="1" a="1"/>
  <c r="M24" i="16" s="1"/>
  <c r="H25" i="16"/>
  <c r="M25" i="16" s="1" a="1"/>
  <c r="M25" i="16" s="1"/>
  <c r="H27" i="16"/>
  <c r="M27" i="16" s="1" a="1"/>
  <c r="M27" i="16" s="1"/>
  <c r="H28" i="16"/>
  <c r="M28" i="16" s="1" a="1"/>
  <c r="M28" i="16" s="1"/>
  <c r="H29" i="16"/>
  <c r="M29" i="16" s="1" a="1"/>
  <c r="M29" i="16" s="1"/>
  <c r="H30" i="16"/>
  <c r="M30" i="16" s="1" a="1"/>
  <c r="M30" i="16" s="1"/>
  <c r="H31" i="16"/>
  <c r="M31" i="16" s="1" a="1"/>
  <c r="M31" i="16" s="1"/>
  <c r="H32" i="16"/>
  <c r="M32" i="16" s="1" a="1"/>
  <c r="M32" i="16" s="1"/>
  <c r="H33" i="16"/>
  <c r="M33" i="16" s="1" a="1"/>
  <c r="M33" i="16" s="1"/>
  <c r="H34" i="16"/>
  <c r="M34" i="16" s="1" a="1"/>
  <c r="M34" i="16" s="1"/>
  <c r="H35" i="16"/>
  <c r="M35" i="16" s="1" a="1"/>
  <c r="M35" i="16" s="1"/>
  <c r="H36" i="16"/>
  <c r="M36" i="16" s="1" a="1"/>
  <c r="M36" i="16" s="1"/>
  <c r="H37" i="16"/>
  <c r="M37" i="16" s="1" a="1"/>
  <c r="M37" i="16" s="1"/>
  <c r="H39" i="16"/>
  <c r="M39" i="16" s="1" a="1"/>
  <c r="M39" i="16" s="1"/>
  <c r="H40" i="16"/>
  <c r="M40" i="16" s="1" a="1"/>
  <c r="M40" i="16" s="1"/>
  <c r="H41" i="16"/>
  <c r="M41" i="16" s="1" a="1"/>
  <c r="M41" i="16" s="1"/>
  <c r="H42" i="16"/>
  <c r="M42" i="16" s="1" a="1"/>
  <c r="M42" i="16" s="1"/>
  <c r="H43" i="16"/>
  <c r="M43" i="16" s="1" a="1"/>
  <c r="M43" i="16" s="1"/>
  <c r="H44" i="16"/>
  <c r="M44" i="16" s="1" a="1"/>
  <c r="M44" i="16" s="1"/>
  <c r="H45" i="16"/>
  <c r="M45" i="16" s="1" a="1"/>
  <c r="M45" i="16" s="1"/>
  <c r="H46" i="16"/>
  <c r="M46" i="16" s="1" a="1"/>
  <c r="M46" i="16" s="1"/>
  <c r="H47" i="16"/>
  <c r="M47" i="16" s="1" a="1"/>
  <c r="M47" i="16" s="1"/>
  <c r="H48" i="16"/>
  <c r="M48" i="16" s="1" a="1"/>
  <c r="M48" i="16" s="1"/>
  <c r="H49" i="16"/>
  <c r="M49" i="16" s="1" a="1"/>
  <c r="M49" i="16" s="1"/>
  <c r="H50" i="16"/>
  <c r="M50" i="16" s="1" a="1"/>
  <c r="M50" i="16" s="1"/>
  <c r="H51" i="16"/>
  <c r="M51" i="16" s="1" a="1"/>
  <c r="M51" i="16" s="1"/>
  <c r="H52" i="16"/>
  <c r="M52" i="16" s="1" a="1"/>
  <c r="M52" i="16" s="1"/>
  <c r="H53" i="16"/>
  <c r="M53" i="16" s="1" a="1"/>
  <c r="M53" i="16" s="1"/>
  <c r="H54" i="16"/>
  <c r="M54" i="16" s="1" a="1"/>
  <c r="M54" i="16" s="1"/>
  <c r="H55" i="16"/>
  <c r="M55" i="16" s="1" a="1"/>
  <c r="M55" i="16" s="1"/>
  <c r="H56" i="16"/>
  <c r="M56" i="16" s="1" a="1"/>
  <c r="M56" i="16" s="1"/>
  <c r="H58" i="16"/>
  <c r="M58" i="16" s="1" a="1"/>
  <c r="M58" i="16" s="1"/>
  <c r="H59" i="16"/>
  <c r="M59" i="16" s="1" a="1"/>
  <c r="M59" i="16" s="1"/>
  <c r="H60" i="16"/>
  <c r="M60" i="16" s="1" a="1"/>
  <c r="M60" i="16" s="1"/>
  <c r="H61" i="16"/>
  <c r="M61" i="16" s="1" a="1"/>
  <c r="M61" i="16" s="1"/>
  <c r="H62" i="16"/>
  <c r="M62" i="16" s="1" a="1"/>
  <c r="M62" i="16" s="1"/>
  <c r="H63" i="16"/>
  <c r="M63" i="16" s="1" a="1"/>
  <c r="M63" i="16" s="1"/>
  <c r="H64" i="16"/>
  <c r="M64" i="16" s="1" a="1"/>
  <c r="M64" i="16" s="1"/>
  <c r="H65" i="16"/>
  <c r="M65" i="16" s="1" a="1"/>
  <c r="M65" i="16" s="1"/>
  <c r="H66" i="16"/>
  <c r="M66" i="16" s="1" a="1"/>
  <c r="M66" i="16" s="1"/>
  <c r="H67" i="16"/>
  <c r="M67" i="16" s="1" a="1"/>
  <c r="M67" i="16" s="1"/>
  <c r="H69" i="16"/>
  <c r="M69" i="16" s="1" a="1"/>
  <c r="M69" i="16" s="1"/>
  <c r="H70" i="16"/>
  <c r="M70" i="16" s="1" a="1"/>
  <c r="M70" i="16" s="1"/>
  <c r="H71" i="16"/>
  <c r="M71" i="16" s="1" a="1"/>
  <c r="M71" i="16" s="1"/>
  <c r="H72" i="16"/>
  <c r="M72" i="16" s="1" a="1"/>
  <c r="M72" i="16" s="1"/>
  <c r="H73" i="16"/>
  <c r="M73" i="16" s="1" a="1"/>
  <c r="M73" i="16" s="1"/>
  <c r="H74" i="16"/>
  <c r="M74" i="16" s="1" a="1"/>
  <c r="M74" i="16" s="1"/>
  <c r="H75" i="16"/>
  <c r="M75" i="16" s="1" a="1"/>
  <c r="M75" i="16" s="1"/>
  <c r="H76" i="16"/>
  <c r="M76" i="16" s="1" a="1"/>
  <c r="M76" i="16" s="1"/>
  <c r="H77" i="16"/>
  <c r="M77" i="16" s="1" a="1"/>
  <c r="M77" i="16" s="1"/>
  <c r="H78" i="16"/>
  <c r="M78" i="16" s="1" a="1"/>
  <c r="M78" i="16" s="1"/>
  <c r="H79" i="16"/>
  <c r="M79" i="16" s="1" a="1"/>
  <c r="M79" i="16" s="1"/>
  <c r="H80" i="16"/>
  <c r="M80" i="16" s="1" a="1"/>
  <c r="M80" i="16" s="1"/>
  <c r="H81" i="16"/>
  <c r="M81" i="16" s="1" a="1"/>
  <c r="M81" i="16" s="1"/>
  <c r="H82" i="16"/>
  <c r="M82" i="16" s="1" a="1"/>
  <c r="M82" i="16" s="1"/>
  <c r="H84" i="16"/>
  <c r="M84" i="16" s="1" a="1"/>
  <c r="M84" i="16" s="1"/>
  <c r="H85" i="16"/>
  <c r="M85" i="16" s="1" a="1"/>
  <c r="M85" i="16" s="1"/>
  <c r="H86" i="16"/>
  <c r="M86" i="16" s="1" a="1"/>
  <c r="M86" i="16" s="1"/>
  <c r="H87" i="16"/>
  <c r="M87" i="16" s="1" a="1"/>
  <c r="M87" i="16" s="1"/>
  <c r="H88" i="16"/>
  <c r="M88" i="16" s="1" a="1"/>
  <c r="M88" i="16" s="1"/>
  <c r="H89" i="16"/>
  <c r="M89" i="16" s="1" a="1"/>
  <c r="M89" i="16" s="1"/>
  <c r="H90" i="16"/>
  <c r="M90" i="16" s="1" a="1"/>
  <c r="M90" i="16" s="1"/>
  <c r="H91" i="16"/>
  <c r="M91" i="16" s="1" a="1"/>
  <c r="M91" i="16" s="1"/>
  <c r="H92" i="16"/>
  <c r="M92" i="16" s="1" a="1"/>
  <c r="M92" i="16" s="1"/>
  <c r="H93" i="16"/>
  <c r="M93" i="16" s="1" a="1"/>
  <c r="M93" i="16" s="1"/>
  <c r="H94" i="16"/>
  <c r="M94" i="16" s="1" a="1"/>
  <c r="M94" i="16" s="1"/>
  <c r="H95" i="16"/>
  <c r="M95" i="16" s="1" a="1"/>
  <c r="M95" i="16" s="1"/>
  <c r="H96" i="16"/>
  <c r="M96" i="16" s="1" a="1"/>
  <c r="M96" i="16" s="1"/>
  <c r="H97" i="16"/>
  <c r="M97" i="16" s="1" a="1"/>
  <c r="M97" i="16" s="1"/>
  <c r="H98" i="16"/>
  <c r="M98" i="16" s="1" a="1"/>
  <c r="M98" i="16" s="1"/>
  <c r="H99" i="16"/>
  <c r="M99" i="16" s="1" a="1"/>
  <c r="M99" i="16" s="1"/>
  <c r="H100" i="16"/>
  <c r="M100" i="16" s="1" a="1"/>
  <c r="M100" i="16" s="1"/>
  <c r="H102" i="16"/>
  <c r="M102" i="16" s="1" a="1"/>
  <c r="M102" i="16" s="1"/>
  <c r="H103" i="16"/>
  <c r="M103" i="16" s="1" a="1"/>
  <c r="M103" i="16" s="1"/>
  <c r="H104" i="16"/>
  <c r="M104" i="16" s="1" a="1"/>
  <c r="M104" i="16" s="1"/>
  <c r="H105" i="16"/>
  <c r="M105" i="16" s="1" a="1"/>
  <c r="M105" i="16" s="1"/>
  <c r="H106" i="16"/>
  <c r="M106" i="16" s="1" a="1"/>
  <c r="M106" i="16" s="1"/>
  <c r="H107" i="16"/>
  <c r="M107" i="16" s="1" a="1"/>
  <c r="M107" i="16" s="1"/>
  <c r="H108" i="16"/>
  <c r="M108" i="16" s="1" a="1"/>
  <c r="M108" i="16" s="1"/>
  <c r="H109" i="16"/>
  <c r="M109" i="16" s="1" a="1"/>
  <c r="M109" i="16" s="1"/>
  <c r="H110" i="16"/>
  <c r="M110" i="16" s="1" a="1"/>
  <c r="M110" i="16" s="1"/>
  <c r="H111" i="16"/>
  <c r="M111" i="16" s="1" a="1"/>
  <c r="M111" i="16" s="1"/>
  <c r="H112" i="16"/>
  <c r="M112" i="16" s="1" a="1"/>
  <c r="M112" i="16" s="1"/>
  <c r="H113" i="16"/>
  <c r="M113" i="16" s="1" a="1"/>
  <c r="M113" i="16" s="1"/>
  <c r="H115" i="16"/>
  <c r="M115" i="16" s="1" a="1"/>
  <c r="M115" i="16" s="1"/>
  <c r="H9" i="16"/>
  <c r="M9" i="16" s="1" a="1"/>
  <c r="M9" i="16" s="1"/>
  <c r="J45" i="12"/>
  <c r="O45" i="12" s="1" a="1"/>
  <c r="O45" i="12" s="1"/>
  <c r="P45" i="12" s="1"/>
  <c r="J46" i="12"/>
  <c r="O46" i="12" s="1" a="1"/>
  <c r="O46" i="12" s="1"/>
  <c r="P46" i="12" s="1"/>
  <c r="J47" i="12"/>
  <c r="O47" i="12" s="1" a="1"/>
  <c r="O47" i="12" s="1"/>
  <c r="P47" i="12" s="1"/>
  <c r="J48" i="12"/>
  <c r="O48" i="12" s="1" a="1"/>
  <c r="O48" i="12" s="1"/>
  <c r="P48" i="12" s="1"/>
  <c r="J49" i="12"/>
  <c r="O49" i="12" s="1" a="1"/>
  <c r="O49" i="12" s="1"/>
  <c r="P49" i="12" s="1"/>
  <c r="J50" i="12"/>
  <c r="O50" i="12" s="1" a="1"/>
  <c r="O50" i="12" s="1"/>
  <c r="P50" i="12" s="1"/>
  <c r="J51" i="12"/>
  <c r="O51" i="12" s="1" a="1"/>
  <c r="O51" i="12" s="1"/>
  <c r="P51" i="12" s="1"/>
  <c r="J52" i="12"/>
  <c r="O52" i="12" s="1" a="1"/>
  <c r="O52" i="12" s="1"/>
  <c r="P52" i="12" s="1"/>
  <c r="J53" i="12"/>
  <c r="O53" i="12" s="1" a="1"/>
  <c r="O53" i="12" s="1"/>
  <c r="P53" i="12" s="1"/>
  <c r="J54" i="12"/>
  <c r="O54" i="12" s="1" a="1"/>
  <c r="O54" i="12" s="1"/>
  <c r="P54" i="12" s="1"/>
  <c r="J55" i="12"/>
  <c r="O55" i="12" s="1" a="1"/>
  <c r="O55" i="12" s="1"/>
  <c r="P55" i="12" s="1"/>
  <c r="J56" i="12"/>
  <c r="O56" i="12" s="1" a="1"/>
  <c r="O56" i="12" s="1"/>
  <c r="P56" i="12" s="1"/>
  <c r="J57" i="12"/>
  <c r="O57" i="12" s="1" a="1"/>
  <c r="O57" i="12" s="1"/>
  <c r="P57" i="12" s="1"/>
  <c r="J58" i="12"/>
  <c r="O58" i="12" s="1" a="1"/>
  <c r="O58" i="12" s="1"/>
  <c r="P58" i="12" s="1"/>
  <c r="J60" i="12"/>
  <c r="O60" i="12" s="1" a="1"/>
  <c r="O60" i="12" s="1"/>
  <c r="P60" i="12" s="1"/>
  <c r="J61" i="12"/>
  <c r="O61" i="12" s="1" a="1"/>
  <c r="O61" i="12" s="1"/>
  <c r="P61" i="12" s="1"/>
  <c r="J10" i="12"/>
  <c r="O10" i="12" s="1" a="1"/>
  <c r="O10" i="12" s="1"/>
  <c r="P10" i="12" s="1"/>
  <c r="J11" i="12"/>
  <c r="O11" i="12" s="1" a="1"/>
  <c r="O11" i="12" s="1"/>
  <c r="P11" i="12" s="1"/>
  <c r="J12" i="12"/>
  <c r="O12" i="12" s="1" a="1"/>
  <c r="O12" i="12" s="1"/>
  <c r="P12" i="12" s="1"/>
  <c r="J13" i="12"/>
  <c r="O13" i="12" s="1" a="1"/>
  <c r="O13" i="12" s="1"/>
  <c r="P13" i="12" s="1"/>
  <c r="J14" i="12"/>
  <c r="O14" i="12" s="1" a="1"/>
  <c r="O14" i="12" s="1"/>
  <c r="P14" i="12" s="1"/>
  <c r="J15" i="12"/>
  <c r="O15" i="12" s="1" a="1"/>
  <c r="O15" i="12" s="1"/>
  <c r="P15" i="12" s="1"/>
  <c r="J16" i="12"/>
  <c r="O16" i="12" s="1" a="1"/>
  <c r="O16" i="12" s="1"/>
  <c r="P16" i="12" s="1"/>
  <c r="J17" i="12"/>
  <c r="O17" i="12" s="1" a="1"/>
  <c r="O17" i="12" s="1"/>
  <c r="P17" i="12" s="1"/>
  <c r="J18" i="12"/>
  <c r="O18" i="12" s="1" a="1"/>
  <c r="O18" i="12" s="1"/>
  <c r="P18" i="12" s="1"/>
  <c r="J19" i="12"/>
  <c r="O19" i="12" s="1" a="1"/>
  <c r="O19" i="12" s="1"/>
  <c r="P19" i="12" s="1"/>
  <c r="J20" i="12"/>
  <c r="O20" i="12" s="1" a="1"/>
  <c r="O20" i="12" s="1"/>
  <c r="P20" i="12" s="1"/>
  <c r="J21" i="12"/>
  <c r="O21" i="12" s="1" a="1"/>
  <c r="O21" i="12" s="1"/>
  <c r="P21" i="12" s="1"/>
  <c r="J22" i="12"/>
  <c r="O22" i="12" s="1" a="1"/>
  <c r="O22" i="12" s="1"/>
  <c r="P22" i="12" s="1"/>
  <c r="J23" i="12"/>
  <c r="O23" i="12" s="1" a="1"/>
  <c r="O23" i="12" s="1"/>
  <c r="P23" i="12" s="1"/>
  <c r="J24" i="12"/>
  <c r="O24" i="12" s="1" a="1"/>
  <c r="O24" i="12" s="1"/>
  <c r="P24" i="12" s="1"/>
  <c r="J25" i="12"/>
  <c r="O25" i="12" s="1" a="1"/>
  <c r="O25" i="12" s="1"/>
  <c r="P25" i="12" s="1"/>
  <c r="J26" i="12"/>
  <c r="O26" i="12" s="1" a="1"/>
  <c r="O26" i="12" s="1"/>
  <c r="P26" i="12" s="1"/>
  <c r="J27" i="12"/>
  <c r="O27" i="12" s="1" a="1"/>
  <c r="O27" i="12" s="1"/>
  <c r="P27" i="12" s="1"/>
  <c r="J28" i="12"/>
  <c r="O28" i="12" s="1" a="1"/>
  <c r="O28" i="12" s="1"/>
  <c r="P28" i="12" s="1"/>
  <c r="J29" i="12"/>
  <c r="O29" i="12" s="1" a="1"/>
  <c r="O29" i="12" s="1"/>
  <c r="P29" i="12" s="1"/>
  <c r="J30" i="12"/>
  <c r="O30" i="12" s="1" a="1"/>
  <c r="O30" i="12" s="1"/>
  <c r="P30" i="12" s="1"/>
  <c r="J31" i="12"/>
  <c r="O31" i="12" s="1" a="1"/>
  <c r="O31" i="12" s="1"/>
  <c r="P31" i="12" s="1"/>
  <c r="J32" i="12"/>
  <c r="O32" i="12" s="1" a="1"/>
  <c r="O32" i="12" s="1"/>
  <c r="P32" i="12" s="1"/>
  <c r="J33" i="12"/>
  <c r="O33" i="12" s="1" a="1"/>
  <c r="O33" i="12" s="1"/>
  <c r="P33" i="12" s="1"/>
  <c r="J34" i="12"/>
  <c r="O34" i="12" s="1" a="1"/>
  <c r="O34" i="12" s="1"/>
  <c r="P34" i="12" s="1"/>
  <c r="J35" i="12"/>
  <c r="O35" i="12" s="1" a="1"/>
  <c r="O35" i="12" s="1"/>
  <c r="P35" i="12" s="1"/>
  <c r="J36" i="12"/>
  <c r="O36" i="12" s="1" a="1"/>
  <c r="O36" i="12" s="1"/>
  <c r="P36" i="12" s="1"/>
  <c r="J37" i="12"/>
  <c r="O37" i="12" s="1" a="1"/>
  <c r="O37" i="12" s="1"/>
  <c r="P37" i="12" s="1"/>
  <c r="J38" i="12"/>
  <c r="O38" i="12" s="1" a="1"/>
  <c r="O38" i="12" s="1"/>
  <c r="P38" i="12" s="1"/>
  <c r="J39" i="12"/>
  <c r="O39" i="12" s="1" a="1"/>
  <c r="O39" i="12" s="1"/>
  <c r="P39" i="12" s="1"/>
  <c r="J40" i="12"/>
  <c r="O40" i="12" s="1" a="1"/>
  <c r="O40" i="12" s="1"/>
  <c r="P40" i="12" s="1"/>
  <c r="J41" i="12"/>
  <c r="O41" i="12" s="1" a="1"/>
  <c r="O41" i="12" s="1"/>
  <c r="P41" i="12" s="1"/>
  <c r="J42" i="12"/>
  <c r="O42" i="12" s="1" a="1"/>
  <c r="O42" i="12" s="1"/>
  <c r="P42" i="12" s="1"/>
  <c r="J43" i="12"/>
  <c r="O43" i="12" s="1" a="1"/>
  <c r="O43" i="12" s="1"/>
  <c r="P43" i="12" s="1"/>
  <c r="J9" i="12"/>
  <c r="O9" i="12" s="1" a="1"/>
  <c r="O9" i="12" s="1"/>
  <c r="P9" i="12" s="1"/>
  <c r="H23" i="7"/>
  <c r="M23" i="7" s="1" a="1"/>
  <c r="M23" i="7" s="1"/>
  <c r="H24" i="7"/>
  <c r="M24" i="7" s="1" a="1"/>
  <c r="M24" i="7" s="1"/>
  <c r="H25" i="7"/>
  <c r="M25" i="7" s="1" a="1"/>
  <c r="M25" i="7" s="1"/>
  <c r="H26" i="7"/>
  <c r="M26" i="7" s="1" a="1"/>
  <c r="M26" i="7" s="1"/>
  <c r="H27" i="7"/>
  <c r="M27" i="7" s="1" a="1"/>
  <c r="M27" i="7" s="1"/>
  <c r="H28" i="7"/>
  <c r="M28" i="7" s="1" a="1"/>
  <c r="M28" i="7" s="1"/>
  <c r="H29" i="7"/>
  <c r="M29" i="7" s="1" a="1"/>
  <c r="M29" i="7" s="1"/>
  <c r="H31" i="7"/>
  <c r="M31" i="7" s="1" a="1"/>
  <c r="M31" i="7" s="1"/>
  <c r="H32" i="7"/>
  <c r="M32" i="7" s="1" a="1"/>
  <c r="M32" i="7" s="1"/>
  <c r="H33" i="7"/>
  <c r="M33" i="7" s="1" a="1"/>
  <c r="M33" i="7" s="1"/>
  <c r="H34" i="7"/>
  <c r="M34" i="7" s="1" a="1"/>
  <c r="M34" i="7" s="1"/>
  <c r="H35" i="7"/>
  <c r="M35" i="7" s="1" a="1"/>
  <c r="M35" i="7" s="1"/>
  <c r="H36" i="7"/>
  <c r="M36" i="7" s="1" a="1"/>
  <c r="M36" i="7" s="1"/>
  <c r="H37" i="7"/>
  <c r="M37" i="7" s="1" a="1"/>
  <c r="M37" i="7" s="1"/>
  <c r="H38" i="7"/>
  <c r="M38" i="7" s="1" a="1"/>
  <c r="M38" i="7" s="1"/>
  <c r="H39" i="7"/>
  <c r="M39" i="7" s="1" a="1"/>
  <c r="M39" i="7" s="1"/>
  <c r="H40" i="7"/>
  <c r="M40" i="7" s="1" a="1"/>
  <c r="M40" i="7" s="1"/>
  <c r="H41" i="7"/>
  <c r="M41" i="7" s="1" a="1"/>
  <c r="M41" i="7" s="1"/>
  <c r="H42" i="7"/>
  <c r="M42" i="7" s="1" a="1"/>
  <c r="M42" i="7" s="1"/>
  <c r="H43" i="7"/>
  <c r="M43" i="7" s="1" a="1"/>
  <c r="M43" i="7" s="1"/>
  <c r="H44" i="7"/>
  <c r="M44" i="7" s="1" a="1"/>
  <c r="M44" i="7" s="1"/>
  <c r="H45" i="7"/>
  <c r="M45" i="7" s="1" a="1"/>
  <c r="M45" i="7" s="1"/>
  <c r="H46" i="7"/>
  <c r="M46" i="7" s="1" a="1"/>
  <c r="M46" i="7" s="1"/>
  <c r="H48" i="7"/>
  <c r="M48" i="7" s="1" a="1"/>
  <c r="M48" i="7" s="1"/>
  <c r="H49" i="7"/>
  <c r="M49" i="7" s="1" a="1"/>
  <c r="M49" i="7" s="1"/>
  <c r="H50" i="7"/>
  <c r="M50" i="7" s="1" a="1"/>
  <c r="M50" i="7" s="1"/>
  <c r="H51" i="7"/>
  <c r="M51" i="7" s="1" a="1"/>
  <c r="M51" i="7" s="1"/>
  <c r="H52" i="7"/>
  <c r="M52" i="7" s="1" a="1"/>
  <c r="M52" i="7" s="1"/>
  <c r="H53" i="7"/>
  <c r="M53" i="7" s="1" a="1"/>
  <c r="M53" i="7" s="1"/>
  <c r="H54" i="7"/>
  <c r="M54" i="7" s="1" a="1"/>
  <c r="M54" i="7" s="1"/>
  <c r="H55" i="7"/>
  <c r="M55" i="7" s="1" a="1"/>
  <c r="M55" i="7" s="1"/>
  <c r="H56" i="7"/>
  <c r="M56" i="7" s="1" a="1"/>
  <c r="M56" i="7" s="1"/>
  <c r="H57" i="7"/>
  <c r="M57" i="7" s="1" a="1"/>
  <c r="M57" i="7" s="1"/>
  <c r="H58" i="7"/>
  <c r="M58" i="7" s="1" a="1"/>
  <c r="M58" i="7" s="1"/>
  <c r="H59" i="7"/>
  <c r="M59" i="7" s="1" a="1"/>
  <c r="M59" i="7" s="1"/>
  <c r="H60" i="7"/>
  <c r="M60" i="7" s="1" a="1"/>
  <c r="M60" i="7" s="1"/>
  <c r="H61" i="7"/>
  <c r="M61" i="7" s="1" a="1"/>
  <c r="M61" i="7" s="1"/>
  <c r="H62" i="7"/>
  <c r="M62" i="7" s="1" a="1"/>
  <c r="M62" i="7" s="1"/>
  <c r="H63" i="7"/>
  <c r="M63" i="7" s="1" a="1"/>
  <c r="M63" i="7" s="1"/>
  <c r="H64" i="7"/>
  <c r="M64" i="7" s="1" a="1"/>
  <c r="M64" i="7" s="1"/>
  <c r="H65" i="7"/>
  <c r="M65" i="7" s="1" a="1"/>
  <c r="M65" i="7" s="1"/>
  <c r="H66" i="7"/>
  <c r="M66" i="7" s="1" a="1"/>
  <c r="M66" i="7" s="1"/>
  <c r="H67" i="7"/>
  <c r="M67" i="7" s="1" a="1"/>
  <c r="M67" i="7" s="1"/>
  <c r="H69" i="7"/>
  <c r="M69" i="7" s="1" a="1"/>
  <c r="M69" i="7" s="1"/>
  <c r="H70" i="7"/>
  <c r="M70" i="7" s="1" a="1"/>
  <c r="M70" i="7" s="1"/>
  <c r="H71" i="7"/>
  <c r="M71" i="7" s="1" a="1"/>
  <c r="M71" i="7" s="1"/>
  <c r="H72" i="7"/>
  <c r="M72" i="7" s="1" a="1"/>
  <c r="M72" i="7" s="1"/>
  <c r="H73" i="7"/>
  <c r="M73" i="7" s="1" a="1"/>
  <c r="M73" i="7" s="1"/>
  <c r="H74" i="7"/>
  <c r="M74" i="7" s="1" a="1"/>
  <c r="M74" i="7" s="1"/>
  <c r="H75" i="7"/>
  <c r="M75" i="7" s="1" a="1"/>
  <c r="M75" i="7" s="1"/>
  <c r="H76" i="7"/>
  <c r="M76" i="7" s="1" a="1"/>
  <c r="M76" i="7" s="1"/>
  <c r="H77" i="7"/>
  <c r="M77" i="7" s="1" a="1"/>
  <c r="M77" i="7" s="1"/>
  <c r="H78" i="7"/>
  <c r="M78" i="7" s="1" a="1"/>
  <c r="M78" i="7" s="1"/>
  <c r="H79" i="7"/>
  <c r="M79" i="7" s="1" a="1"/>
  <c r="M79" i="7" s="1"/>
  <c r="H80" i="7"/>
  <c r="M80" i="7" s="1" a="1"/>
  <c r="M80" i="7" s="1"/>
  <c r="H81" i="7"/>
  <c r="M81" i="7" s="1" a="1"/>
  <c r="M81" i="7" s="1"/>
  <c r="H82" i="7"/>
  <c r="M82" i="7" s="1" a="1"/>
  <c r="M82" i="7" s="1"/>
  <c r="H83" i="7"/>
  <c r="M83" i="7" s="1" a="1"/>
  <c r="M83" i="7" s="1"/>
  <c r="H84" i="7"/>
  <c r="M84" i="7" s="1" a="1"/>
  <c r="M84" i="7" s="1"/>
  <c r="H85" i="7"/>
  <c r="M85" i="7" s="1" a="1"/>
  <c r="M85" i="7" s="1"/>
  <c r="H86" i="7"/>
  <c r="M86" i="7" s="1" a="1"/>
  <c r="M86" i="7" s="1"/>
  <c r="H87" i="7"/>
  <c r="M87" i="7" s="1" a="1"/>
  <c r="M87" i="7" s="1"/>
  <c r="H88" i="7"/>
  <c r="M88" i="7" s="1" a="1"/>
  <c r="M88" i="7" s="1"/>
  <c r="H89" i="7"/>
  <c r="M89" i="7" s="1" a="1"/>
  <c r="M89" i="7" s="1"/>
  <c r="H90" i="7"/>
  <c r="M90" i="7" s="1" a="1"/>
  <c r="M90" i="7" s="1"/>
  <c r="H91" i="7"/>
  <c r="M91" i="7" s="1" a="1"/>
  <c r="M91" i="7" s="1"/>
  <c r="H92" i="7"/>
  <c r="M92" i="7" s="1" a="1"/>
  <c r="M92" i="7" s="1"/>
  <c r="H94" i="7"/>
  <c r="M94" i="7" s="1" a="1"/>
  <c r="M94" i="7" s="1"/>
  <c r="H95" i="7"/>
  <c r="M95" i="7" s="1" a="1"/>
  <c r="M95" i="7" s="1"/>
  <c r="H96" i="7"/>
  <c r="M96" i="7" s="1" a="1"/>
  <c r="M96" i="7" s="1"/>
  <c r="H97" i="7"/>
  <c r="M97" i="7" s="1" a="1"/>
  <c r="M97" i="7" s="1"/>
  <c r="H98" i="7"/>
  <c r="M98" i="7" s="1" a="1"/>
  <c r="M98" i="7" s="1"/>
  <c r="H99" i="7"/>
  <c r="M99" i="7" s="1" a="1"/>
  <c r="M99" i="7" s="1"/>
  <c r="H100" i="7"/>
  <c r="M100" i="7" s="1" a="1"/>
  <c r="M100" i="7" s="1"/>
  <c r="H101" i="7"/>
  <c r="M101" i="7" s="1" a="1"/>
  <c r="M101" i="7" s="1"/>
  <c r="H102" i="7"/>
  <c r="M102" i="7" s="1" a="1"/>
  <c r="M102" i="7" s="1"/>
  <c r="H103" i="7"/>
  <c r="M103" i="7" s="1" a="1"/>
  <c r="M103" i="7" s="1"/>
  <c r="H104" i="7"/>
  <c r="M104" i="7" s="1" a="1"/>
  <c r="M104" i="7" s="1"/>
  <c r="H105" i="7"/>
  <c r="M105" i="7" s="1" a="1"/>
  <c r="M105" i="7" s="1"/>
  <c r="H106" i="7"/>
  <c r="M106" i="7" s="1" a="1"/>
  <c r="M106" i="7" s="1"/>
  <c r="H107" i="7"/>
  <c r="M107" i="7" s="1" a="1"/>
  <c r="M107" i="7" s="1"/>
  <c r="H108" i="7"/>
  <c r="M108" i="7" s="1" a="1"/>
  <c r="M108" i="7" s="1"/>
  <c r="H109" i="7"/>
  <c r="M109" i="7" s="1" a="1"/>
  <c r="M109" i="7" s="1"/>
  <c r="H110" i="7"/>
  <c r="M110" i="7" s="1" a="1"/>
  <c r="M110" i="7" s="1"/>
  <c r="H111" i="7"/>
  <c r="M111" i="7" s="1" a="1"/>
  <c r="M111" i="7" s="1"/>
  <c r="H113" i="7"/>
  <c r="M113" i="7" s="1" a="1"/>
  <c r="M113" i="7" s="1"/>
  <c r="H114" i="7"/>
  <c r="M114" i="7" s="1" a="1"/>
  <c r="M114" i="7" s="1"/>
  <c r="H115" i="7"/>
  <c r="M115" i="7" s="1" a="1"/>
  <c r="M115" i="7" s="1"/>
  <c r="H116" i="7"/>
  <c r="M116" i="7" s="1" a="1"/>
  <c r="M116" i="7" s="1"/>
  <c r="H117" i="7"/>
  <c r="M117" i="7" s="1" a="1"/>
  <c r="M117" i="7" s="1"/>
  <c r="H118" i="7"/>
  <c r="M118" i="7" s="1" a="1"/>
  <c r="M118" i="7" s="1"/>
  <c r="H119" i="7"/>
  <c r="M119" i="7" s="1" a="1"/>
  <c r="M119" i="7" s="1"/>
  <c r="H120" i="7"/>
  <c r="M120" i="7" s="1" a="1"/>
  <c r="M120" i="7" s="1"/>
  <c r="H121" i="7"/>
  <c r="M121" i="7" s="1" a="1"/>
  <c r="M121" i="7" s="1"/>
  <c r="H123" i="7"/>
  <c r="M123" i="7" s="1" a="1"/>
  <c r="M123" i="7" s="1"/>
  <c r="H124" i="7"/>
  <c r="M124" i="7" s="1" a="1"/>
  <c r="M124" i="7" s="1"/>
  <c r="H125" i="7"/>
  <c r="M125" i="7" s="1" a="1"/>
  <c r="M125" i="7" s="1"/>
  <c r="H126" i="7"/>
  <c r="M126" i="7" s="1" a="1"/>
  <c r="M126" i="7" s="1"/>
  <c r="H127" i="7"/>
  <c r="M127" i="7" s="1" a="1"/>
  <c r="M127" i="7" s="1"/>
  <c r="H128" i="7"/>
  <c r="M128" i="7" s="1" a="1"/>
  <c r="M128" i="7" s="1"/>
  <c r="H129" i="7"/>
  <c r="M129" i="7" s="1" a="1"/>
  <c r="M129" i="7" s="1"/>
  <c r="H130" i="7"/>
  <c r="M130" i="7" s="1" a="1"/>
  <c r="M130" i="7" s="1"/>
  <c r="H131" i="7"/>
  <c r="M131" i="7" s="1" a="1"/>
  <c r="M131" i="7" s="1"/>
  <c r="H132" i="7"/>
  <c r="M132" i="7" s="1" a="1"/>
  <c r="M132" i="7" s="1"/>
  <c r="H133" i="7"/>
  <c r="M133" i="7" s="1" a="1"/>
  <c r="M133" i="7" s="1"/>
  <c r="H134" i="7"/>
  <c r="M134" i="7" s="1" a="1"/>
  <c r="M134" i="7" s="1"/>
  <c r="H10" i="8"/>
  <c r="M10" i="8" s="1" a="1"/>
  <c r="M10" i="8" s="1"/>
  <c r="H11" i="8"/>
  <c r="M11" i="8" s="1" a="1"/>
  <c r="M11" i="8" s="1"/>
  <c r="H12" i="8"/>
  <c r="M12" i="8" s="1" a="1"/>
  <c r="M12" i="8" s="1"/>
  <c r="H13" i="8"/>
  <c r="M13" i="8" s="1" a="1"/>
  <c r="M13" i="8" s="1"/>
  <c r="H14" i="8"/>
  <c r="M14" i="8" s="1" a="1"/>
  <c r="M14" i="8" s="1"/>
  <c r="H16" i="8"/>
  <c r="M16" i="8" s="1" a="1"/>
  <c r="M16" i="8" s="1"/>
  <c r="H17" i="8"/>
  <c r="M17" i="8" s="1" a="1"/>
  <c r="M17" i="8" s="1"/>
  <c r="H18" i="8"/>
  <c r="M18" i="8" s="1" a="1"/>
  <c r="M18" i="8" s="1"/>
  <c r="H19" i="8"/>
  <c r="M19" i="8" s="1" a="1"/>
  <c r="M19" i="8" s="1"/>
  <c r="H20" i="8"/>
  <c r="M20" i="8" s="1" a="1"/>
  <c r="M20" i="8" s="1"/>
  <c r="H21" i="8"/>
  <c r="M21" i="8" s="1" a="1"/>
  <c r="M21" i="8" s="1"/>
  <c r="H23" i="8"/>
  <c r="M23" i="8" s="1" a="1"/>
  <c r="M23" i="8" s="1"/>
  <c r="H24" i="8"/>
  <c r="M24" i="8" s="1" a="1"/>
  <c r="M24" i="8" s="1"/>
  <c r="H25" i="8"/>
  <c r="M25" i="8" s="1" a="1"/>
  <c r="M25" i="8" s="1"/>
  <c r="H26" i="8"/>
  <c r="M26" i="8" s="1" a="1"/>
  <c r="M26" i="8" s="1"/>
  <c r="H27" i="8"/>
  <c r="M27" i="8" s="1" a="1"/>
  <c r="M27" i="8" s="1"/>
  <c r="H28" i="8"/>
  <c r="M28" i="8" s="1" a="1"/>
  <c r="M28" i="8" s="1"/>
  <c r="H29" i="8"/>
  <c r="M29" i="8" s="1" a="1"/>
  <c r="M29" i="8" s="1"/>
  <c r="H30" i="8"/>
  <c r="M30" i="8" s="1" a="1"/>
  <c r="M30" i="8" s="1"/>
  <c r="H31" i="8"/>
  <c r="M31" i="8" s="1" a="1"/>
  <c r="M31" i="8" s="1"/>
  <c r="H32" i="8"/>
  <c r="M32" i="8" s="1" a="1"/>
  <c r="M32" i="8" s="1"/>
  <c r="H33" i="8"/>
  <c r="M33" i="8" s="1" a="1"/>
  <c r="M33" i="8" s="1"/>
  <c r="H34" i="8"/>
  <c r="M34" i="8" s="1" a="1"/>
  <c r="M34" i="8" s="1"/>
  <c r="H35" i="8"/>
  <c r="M35" i="8" s="1" a="1"/>
  <c r="M35" i="8" s="1"/>
  <c r="H37" i="8"/>
  <c r="M37" i="8" s="1" a="1"/>
  <c r="M37" i="8" s="1"/>
  <c r="H38" i="8"/>
  <c r="M38" i="8" s="1" a="1"/>
  <c r="M38" i="8" s="1"/>
  <c r="H39" i="8"/>
  <c r="M39" i="8" s="1" a="1"/>
  <c r="M39" i="8" s="1"/>
  <c r="H40" i="8"/>
  <c r="M40" i="8" s="1" a="1"/>
  <c r="M40" i="8" s="1"/>
  <c r="H41" i="8"/>
  <c r="M41" i="8" s="1" a="1"/>
  <c r="M41" i="8" s="1"/>
  <c r="H42" i="8"/>
  <c r="M42" i="8" s="1" a="1"/>
  <c r="M42" i="8" s="1"/>
  <c r="H43" i="8"/>
  <c r="M43" i="8" s="1" a="1"/>
  <c r="M43" i="8" s="1"/>
  <c r="H44" i="8"/>
  <c r="M44" i="8" s="1" a="1"/>
  <c r="M44" i="8" s="1"/>
  <c r="H45" i="8"/>
  <c r="M45" i="8" s="1" a="1"/>
  <c r="M45" i="8" s="1"/>
  <c r="H46" i="8"/>
  <c r="M46" i="8" s="1" a="1"/>
  <c r="M46" i="8" s="1"/>
  <c r="H47" i="8"/>
  <c r="M47" i="8" s="1" a="1"/>
  <c r="M47" i="8" s="1"/>
  <c r="H49" i="8"/>
  <c r="M49" i="8" s="1" a="1"/>
  <c r="M49" i="8" s="1"/>
  <c r="H50" i="8"/>
  <c r="M50" i="8" s="1" a="1"/>
  <c r="M50" i="8" s="1"/>
  <c r="H51" i="8"/>
  <c r="M51" i="8" s="1" a="1"/>
  <c r="M51" i="8" s="1"/>
  <c r="H53" i="8"/>
  <c r="M53" i="8" s="1" a="1"/>
  <c r="M53" i="8" s="1"/>
  <c r="H54" i="8"/>
  <c r="M54" i="8" s="1" a="1"/>
  <c r="M54" i="8" s="1"/>
  <c r="H55" i="8"/>
  <c r="M55" i="8" s="1" a="1"/>
  <c r="M55" i="8" s="1"/>
  <c r="H56" i="8"/>
  <c r="M56" i="8" s="1" a="1"/>
  <c r="M56" i="8" s="1"/>
  <c r="H57" i="8"/>
  <c r="M57" i="8" s="1" a="1"/>
  <c r="M57" i="8" s="1"/>
  <c r="H58" i="8"/>
  <c r="M58" i="8" s="1" a="1"/>
  <c r="M58" i="8" s="1"/>
  <c r="H59" i="8"/>
  <c r="M59" i="8" s="1" a="1"/>
  <c r="M59" i="8" s="1"/>
  <c r="H60" i="8"/>
  <c r="M60" i="8" s="1" a="1"/>
  <c r="M60" i="8" s="1"/>
  <c r="H61" i="8"/>
  <c r="M61" i="8" s="1" a="1"/>
  <c r="M61" i="8" s="1"/>
  <c r="H62" i="8"/>
  <c r="M62" i="8" s="1" a="1"/>
  <c r="M62" i="8" s="1"/>
  <c r="H63" i="8"/>
  <c r="M63" i="8" s="1" a="1"/>
  <c r="M63" i="8" s="1"/>
  <c r="H64" i="8"/>
  <c r="M64" i="8" s="1" a="1"/>
  <c r="M64" i="8" s="1"/>
  <c r="H66" i="8"/>
  <c r="M66" i="8" s="1" a="1"/>
  <c r="M66" i="8" s="1"/>
  <c r="H67" i="8"/>
  <c r="M67" i="8" s="1" a="1"/>
  <c r="M67" i="8" s="1"/>
  <c r="H68" i="8"/>
  <c r="M68" i="8" s="1" a="1"/>
  <c r="M68" i="8" s="1"/>
  <c r="H69" i="8"/>
  <c r="M69" i="8" s="1" a="1"/>
  <c r="M69" i="8" s="1"/>
  <c r="H70" i="8"/>
  <c r="M70" i="8" s="1" a="1"/>
  <c r="M70" i="8" s="1"/>
  <c r="H71" i="8"/>
  <c r="M71" i="8" s="1" a="1"/>
  <c r="M71" i="8" s="1"/>
  <c r="H72" i="8"/>
  <c r="M72" i="8" s="1" a="1"/>
  <c r="M72" i="8" s="1"/>
  <c r="H73" i="8"/>
  <c r="M73" i="8" s="1" a="1"/>
  <c r="M73" i="8" s="1"/>
  <c r="H74" i="8"/>
  <c r="M74" i="8" s="1" a="1"/>
  <c r="M74" i="8" s="1"/>
  <c r="H75" i="8"/>
  <c r="M75" i="8" s="1" a="1"/>
  <c r="M75" i="8" s="1"/>
  <c r="H77" i="8"/>
  <c r="M77" i="8" s="1" a="1"/>
  <c r="M77" i="8" s="1"/>
  <c r="H78" i="8"/>
  <c r="M78" i="8" s="1" a="1"/>
  <c r="M78" i="8" s="1"/>
  <c r="H79" i="8"/>
  <c r="M79" i="8" s="1" a="1"/>
  <c r="M79" i="8" s="1"/>
  <c r="H80" i="8"/>
  <c r="M80" i="8" s="1" a="1"/>
  <c r="M80" i="8" s="1"/>
  <c r="H81" i="8"/>
  <c r="M81" i="8" s="1" a="1"/>
  <c r="M81" i="8" s="1"/>
  <c r="H82" i="8"/>
  <c r="M82" i="8" s="1" a="1"/>
  <c r="M82" i="8" s="1"/>
  <c r="H83" i="8"/>
  <c r="M83" i="8" s="1" a="1"/>
  <c r="M83" i="8" s="1"/>
  <c r="H84" i="8"/>
  <c r="M84" i="8" s="1" a="1"/>
  <c r="M84" i="8" s="1"/>
  <c r="H85" i="8"/>
  <c r="M85" i="8" s="1" a="1"/>
  <c r="M85" i="8" s="1"/>
  <c r="H86" i="8"/>
  <c r="M86" i="8" s="1" a="1"/>
  <c r="M86" i="8" s="1"/>
  <c r="H88" i="8"/>
  <c r="M88" i="8" s="1" a="1"/>
  <c r="M88" i="8" s="1"/>
  <c r="H89" i="8"/>
  <c r="M89" i="8" s="1" a="1"/>
  <c r="M89" i="8" s="1"/>
  <c r="H90" i="8"/>
  <c r="M90" i="8" s="1" a="1"/>
  <c r="M90" i="8" s="1"/>
  <c r="H91" i="8"/>
  <c r="M91" i="8" s="1" a="1"/>
  <c r="M91" i="8" s="1"/>
  <c r="H92" i="8"/>
  <c r="M92" i="8" s="1" a="1"/>
  <c r="M92" i="8" s="1"/>
  <c r="H94" i="8"/>
  <c r="M94" i="8" s="1" a="1"/>
  <c r="M94" i="8" s="1"/>
  <c r="H95" i="8"/>
  <c r="M95" i="8" s="1" a="1"/>
  <c r="M95" i="8" s="1"/>
  <c r="H96" i="8"/>
  <c r="M96" i="8" s="1" a="1"/>
  <c r="M96" i="8" s="1"/>
  <c r="H97" i="8"/>
  <c r="M97" i="8" s="1" a="1"/>
  <c r="M97" i="8" s="1"/>
  <c r="H98" i="8"/>
  <c r="M98" i="8" s="1" a="1"/>
  <c r="M98" i="8" s="1"/>
  <c r="H99" i="8"/>
  <c r="M99" i="8" s="1" a="1"/>
  <c r="M99" i="8" s="1"/>
  <c r="H100" i="8"/>
  <c r="M100" i="8" s="1" a="1"/>
  <c r="M100" i="8" s="1"/>
  <c r="H101" i="8"/>
  <c r="M101" i="8" s="1" a="1"/>
  <c r="M101" i="8" s="1"/>
  <c r="H102" i="8"/>
  <c r="M102" i="8" s="1" a="1"/>
  <c r="M102" i="8" s="1"/>
  <c r="H103" i="8"/>
  <c r="M103" i="8" s="1" a="1"/>
  <c r="M103" i="8" s="1"/>
  <c r="H105" i="8"/>
  <c r="M105" i="8" s="1" a="1"/>
  <c r="M105" i="8" s="1"/>
  <c r="H106" i="8"/>
  <c r="M106" i="8" s="1" a="1"/>
  <c r="M106" i="8" s="1"/>
  <c r="H107" i="8"/>
  <c r="M107" i="8" s="1" a="1"/>
  <c r="M107" i="8" s="1"/>
  <c r="H108" i="8"/>
  <c r="M108" i="8" s="1" a="1"/>
  <c r="M108" i="8" s="1"/>
  <c r="H109" i="8"/>
  <c r="M109" i="8" s="1" a="1"/>
  <c r="M109" i="8" s="1"/>
  <c r="H110" i="8"/>
  <c r="M110" i="8" s="1" a="1"/>
  <c r="M110" i="8" s="1"/>
  <c r="H111" i="8"/>
  <c r="M111" i="8" s="1" a="1"/>
  <c r="M111" i="8" s="1"/>
  <c r="H112" i="8"/>
  <c r="M112" i="8" s="1" a="1"/>
  <c r="M112" i="8" s="1"/>
  <c r="H113" i="8"/>
  <c r="M113" i="8" s="1" a="1"/>
  <c r="M113" i="8" s="1"/>
  <c r="H114" i="8"/>
  <c r="M114" i="8" s="1" a="1"/>
  <c r="M114" i="8" s="1"/>
  <c r="H116" i="8"/>
  <c r="M116" i="8" s="1" a="1"/>
  <c r="M116" i="8" s="1"/>
  <c r="H117" i="8"/>
  <c r="M117" i="8" s="1" a="1"/>
  <c r="M117" i="8" s="1"/>
  <c r="H118" i="8"/>
  <c r="M118" i="8" s="1" a="1"/>
  <c r="M118" i="8" s="1"/>
  <c r="H119" i="8"/>
  <c r="M119" i="8" s="1" a="1"/>
  <c r="M119" i="8" s="1"/>
  <c r="H120" i="8"/>
  <c r="M120" i="8" s="1" a="1"/>
  <c r="M120" i="8" s="1"/>
  <c r="H121" i="8"/>
  <c r="M121" i="8" s="1" a="1"/>
  <c r="M121" i="8" s="1"/>
  <c r="H122" i="8"/>
  <c r="M122" i="8" s="1" a="1"/>
  <c r="M122" i="8" s="1"/>
  <c r="H124" i="8"/>
  <c r="M124" i="8" s="1" a="1"/>
  <c r="M124" i="8" s="1"/>
  <c r="H125" i="8"/>
  <c r="M125" i="8" s="1" a="1"/>
  <c r="M125" i="8" s="1"/>
  <c r="H127" i="8"/>
  <c r="M127" i="8" s="1" a="1"/>
  <c r="M127" i="8" s="1"/>
  <c r="H128" i="8"/>
  <c r="M128" i="8" s="1" a="1"/>
  <c r="M128" i="8" s="1"/>
  <c r="H129" i="8"/>
  <c r="M129" i="8" s="1" a="1"/>
  <c r="M129" i="8" s="1"/>
  <c r="H130" i="8"/>
  <c r="M130" i="8" s="1" a="1"/>
  <c r="M130" i="8" s="1"/>
  <c r="H131" i="8"/>
  <c r="M131" i="8" s="1" a="1"/>
  <c r="M131" i="8" s="1"/>
  <c r="H132" i="8"/>
  <c r="M132" i="8" s="1" a="1"/>
  <c r="M132" i="8" s="1"/>
  <c r="H133" i="8"/>
  <c r="M133" i="8" s="1" a="1"/>
  <c r="M133" i="8" s="1"/>
  <c r="H134" i="8"/>
  <c r="M134" i="8" s="1" a="1"/>
  <c r="M134" i="8" s="1"/>
  <c r="H135" i="8"/>
  <c r="M135" i="8" s="1" a="1"/>
  <c r="M135" i="8" s="1"/>
  <c r="H136" i="8"/>
  <c r="M136" i="8" s="1" a="1"/>
  <c r="M136" i="8" s="1"/>
  <c r="H138" i="8"/>
  <c r="M138" i="8" s="1" a="1"/>
  <c r="M138" i="8" s="1"/>
  <c r="H139" i="8"/>
  <c r="M139" i="8" s="1" a="1"/>
  <c r="M139" i="8" s="1"/>
  <c r="H140" i="8"/>
  <c r="M140" i="8" s="1" a="1"/>
  <c r="M140" i="8" s="1"/>
  <c r="H141" i="8"/>
  <c r="M141" i="8" s="1" a="1"/>
  <c r="M141" i="8" s="1"/>
  <c r="H142" i="8"/>
  <c r="M142" i="8" s="1" a="1"/>
  <c r="M142" i="8" s="1"/>
  <c r="H143" i="8"/>
  <c r="M143" i="8" s="1" a="1"/>
  <c r="M143" i="8" s="1"/>
  <c r="H144" i="8"/>
  <c r="M144" i="8" s="1" a="1"/>
  <c r="M144" i="8" s="1"/>
  <c r="H145" i="8"/>
  <c r="M145" i="8" s="1" a="1"/>
  <c r="M145" i="8" s="1"/>
  <c r="H146" i="8"/>
  <c r="M146" i="8" s="1" a="1"/>
  <c r="M146" i="8" s="1"/>
  <c r="H147" i="8"/>
  <c r="M147" i="8" s="1" a="1"/>
  <c r="M147" i="8" s="1"/>
  <c r="H149" i="8"/>
  <c r="M149" i="8" s="1" a="1"/>
  <c r="M149" i="8" s="1"/>
  <c r="H150" i="8"/>
  <c r="M150" i="8" s="1" a="1"/>
  <c r="M150" i="8" s="1"/>
  <c r="H151" i="8"/>
  <c r="M151" i="8" s="1" a="1"/>
  <c r="M151" i="8" s="1"/>
  <c r="H152" i="8"/>
  <c r="M152" i="8" s="1" a="1"/>
  <c r="M152" i="8" s="1"/>
  <c r="H153" i="8"/>
  <c r="M153" i="8" s="1" a="1"/>
  <c r="M153" i="8" s="1"/>
  <c r="H154" i="8"/>
  <c r="M154" i="8" s="1" a="1"/>
  <c r="M154" i="8" s="1"/>
  <c r="H155" i="8"/>
  <c r="M155" i="8" s="1" a="1"/>
  <c r="M155" i="8" s="1"/>
  <c r="H156" i="8"/>
  <c r="M156" i="8" s="1" a="1"/>
  <c r="M156" i="8" s="1"/>
  <c r="H157" i="8"/>
  <c r="M157" i="8" s="1" a="1"/>
  <c r="M157" i="8" s="1"/>
  <c r="H158" i="8"/>
  <c r="M158" i="8" s="1" a="1"/>
  <c r="M158" i="8" s="1"/>
  <c r="H160" i="8"/>
  <c r="M160" i="8" s="1" a="1"/>
  <c r="M160" i="8" s="1"/>
  <c r="H161" i="8"/>
  <c r="M161" i="8" s="1" a="1"/>
  <c r="M161" i="8" s="1"/>
  <c r="H162" i="8"/>
  <c r="M162" i="8" s="1" a="1"/>
  <c r="M162" i="8" s="1"/>
  <c r="H163" i="8"/>
  <c r="M163" i="8" s="1" a="1"/>
  <c r="M163" i="8" s="1"/>
  <c r="H164" i="8"/>
  <c r="M164" i="8" s="1" a="1"/>
  <c r="M164" i="8" s="1"/>
  <c r="H165" i="8"/>
  <c r="M165" i="8" s="1" a="1"/>
  <c r="M165" i="8" s="1"/>
  <c r="H166" i="8"/>
  <c r="M166" i="8" s="1" a="1"/>
  <c r="M166" i="8" s="1"/>
  <c r="H167" i="8"/>
  <c r="M167" i="8" s="1" a="1"/>
  <c r="M167" i="8" s="1"/>
  <c r="H168" i="8"/>
  <c r="M168" i="8" s="1" a="1"/>
  <c r="M168" i="8" s="1"/>
  <c r="H169" i="8"/>
  <c r="M169" i="8" s="1" a="1"/>
  <c r="M169" i="8" s="1"/>
  <c r="H170" i="8"/>
  <c r="M170" i="8" s="1" a="1"/>
  <c r="M170" i="8" s="1"/>
  <c r="H171" i="8"/>
  <c r="M171" i="8" s="1" a="1"/>
  <c r="M171" i="8" s="1"/>
  <c r="H173" i="8"/>
  <c r="M173" i="8" s="1" a="1"/>
  <c r="M173" i="8" s="1"/>
  <c r="H174" i="8"/>
  <c r="M174" i="8" s="1" a="1"/>
  <c r="M174" i="8" s="1"/>
  <c r="H175" i="8"/>
  <c r="M175" i="8" s="1" a="1"/>
  <c r="M175" i="8" s="1"/>
  <c r="H176" i="8"/>
  <c r="M176" i="8" s="1" a="1"/>
  <c r="M176" i="8" s="1"/>
  <c r="H177" i="8"/>
  <c r="M177" i="8" s="1" a="1"/>
  <c r="M177" i="8" s="1"/>
  <c r="H178" i="8"/>
  <c r="M178" i="8" s="1" a="1"/>
  <c r="M178" i="8" s="1"/>
  <c r="H179" i="8"/>
  <c r="M179" i="8" s="1" a="1"/>
  <c r="M179" i="8" s="1"/>
  <c r="H180" i="8"/>
  <c r="M180" i="8" s="1" a="1"/>
  <c r="M180" i="8" s="1"/>
  <c r="H181" i="8"/>
  <c r="M181" i="8" s="1" a="1"/>
  <c r="M181" i="8" s="1"/>
  <c r="H182" i="8"/>
  <c r="M182" i="8" s="1" a="1"/>
  <c r="M182" i="8" s="1"/>
  <c r="H184" i="8"/>
  <c r="M184" i="8" s="1" a="1"/>
  <c r="M184" i="8" s="1"/>
  <c r="N184" i="8" s="1"/>
  <c r="H185" i="8"/>
  <c r="M185" i="8" s="1" a="1"/>
  <c r="M185" i="8" s="1"/>
  <c r="N185" i="8" s="1"/>
  <c r="H186" i="8"/>
  <c r="M186" i="8" s="1" a="1"/>
  <c r="M186" i="8" s="1"/>
  <c r="N186" i="8" s="1"/>
  <c r="H187" i="8"/>
  <c r="M187" i="8" s="1" a="1"/>
  <c r="M187" i="8" s="1"/>
  <c r="H188" i="8"/>
  <c r="M188" i="8" s="1" a="1"/>
  <c r="M188" i="8" s="1"/>
  <c r="H189" i="8"/>
  <c r="M189" i="8" s="1" a="1"/>
  <c r="M189" i="8" s="1"/>
  <c r="H190" i="8"/>
  <c r="M190" i="8" s="1" a="1"/>
  <c r="M190" i="8" s="1"/>
  <c r="N190" i="8" s="1"/>
  <c r="H191" i="8"/>
  <c r="M191" i="8" s="1" a="1"/>
  <c r="M191" i="8" s="1"/>
  <c r="H192" i="8"/>
  <c r="M192" i="8" s="1" a="1"/>
  <c r="M192" i="8" s="1"/>
  <c r="N192" i="8" s="1"/>
  <c r="H193" i="8"/>
  <c r="M193" i="8" s="1" a="1"/>
  <c r="M193" i="8" s="1"/>
  <c r="N193" i="8" s="1"/>
  <c r="H194" i="8"/>
  <c r="M194" i="8" s="1" a="1"/>
  <c r="M194" i="8" s="1"/>
  <c r="N194" i="8" s="1"/>
  <c r="H195" i="8"/>
  <c r="M195" i="8" s="1" a="1"/>
  <c r="M195" i="8" s="1"/>
  <c r="H196" i="8"/>
  <c r="M196" i="8" s="1" a="1"/>
  <c r="M196" i="8" s="1"/>
  <c r="H9" i="8"/>
  <c r="M9" i="8" s="1" a="1"/>
  <c r="M9" i="8" s="1"/>
  <c r="G9" i="7"/>
  <c r="H9" i="7" s="1"/>
  <c r="M9" i="7" s="1" a="1"/>
  <c r="M9" i="7" s="1"/>
  <c r="G10" i="7"/>
  <c r="H10" i="7" s="1"/>
  <c r="M10" i="7" s="1" a="1"/>
  <c r="M10" i="7" s="1"/>
  <c r="G11" i="7"/>
  <c r="H11" i="7" s="1"/>
  <c r="M11" i="7" s="1" a="1"/>
  <c r="M11" i="7" s="1"/>
  <c r="G12" i="7"/>
  <c r="H12" i="7" s="1"/>
  <c r="M12" i="7" s="1" a="1"/>
  <c r="M12" i="7" s="1"/>
  <c r="G13" i="7"/>
  <c r="H13" i="7" s="1"/>
  <c r="M13" i="7" s="1" a="1"/>
  <c r="M13" i="7" s="1"/>
  <c r="G14" i="7"/>
  <c r="H14" i="7" s="1"/>
  <c r="M14" i="7" s="1" a="1"/>
  <c r="M14" i="7" s="1"/>
  <c r="G15" i="7"/>
  <c r="H15" i="7" s="1"/>
  <c r="M15" i="7" s="1" a="1"/>
  <c r="M15" i="7" s="1"/>
  <c r="G16" i="7"/>
  <c r="H16" i="7" s="1"/>
  <c r="M16" i="7" s="1" a="1"/>
  <c r="M16" i="7" s="1"/>
  <c r="G17" i="7"/>
  <c r="H17" i="7" s="1"/>
  <c r="M17" i="7" s="1" a="1"/>
  <c r="M17" i="7" s="1"/>
  <c r="G18" i="7"/>
  <c r="H18" i="7" s="1"/>
  <c r="M18" i="7" s="1" a="1"/>
  <c r="M18" i="7" s="1"/>
  <c r="G19" i="7"/>
  <c r="H19" i="7" s="1"/>
  <c r="M19" i="7" s="1" a="1"/>
  <c r="M19" i="7" s="1"/>
  <c r="G20" i="7"/>
  <c r="H20" i="7" s="1"/>
  <c r="M20" i="7" s="1" a="1"/>
  <c r="M20" i="7" s="1"/>
  <c r="G22" i="7"/>
  <c r="H22" i="7" s="1"/>
  <c r="M22" i="7" s="1" a="1"/>
  <c r="M22" i="7" s="1"/>
  <c r="J73" i="11"/>
  <c r="K73" i="11"/>
  <c r="N73" i="11"/>
  <c r="O73" i="11"/>
  <c r="P73" i="11" s="1"/>
  <c r="E4" i="8"/>
  <c r="R4" i="16"/>
  <c r="S4" i="16"/>
  <c r="T4" i="16"/>
  <c r="U4" i="16"/>
  <c r="V4" i="16"/>
  <c r="W4" i="16"/>
  <c r="X4" i="16"/>
  <c r="Y4" i="16"/>
  <c r="Z4" i="16"/>
  <c r="AA4" i="16"/>
  <c r="O115" i="16"/>
  <c r="O112" i="16"/>
  <c r="J115" i="16"/>
  <c r="K115" i="16"/>
  <c r="J114" i="16"/>
  <c r="K114" i="16"/>
  <c r="Q114" i="16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G9" i="12" a="1"/>
  <c r="G9" i="12" s="1"/>
  <c r="Q46" i="12"/>
  <c r="G8" i="12" a="1"/>
  <c r="G8" i="12" s="1"/>
  <c r="G10" i="12" a="1"/>
  <c r="G10" i="12" s="1"/>
  <c r="G11" i="12" a="1"/>
  <c r="G11" i="12" s="1"/>
  <c r="G12" i="12" a="1"/>
  <c r="G12" i="12" s="1"/>
  <c r="G13" i="12" a="1"/>
  <c r="G13" i="12" s="1"/>
  <c r="G14" i="12" a="1"/>
  <c r="G14" i="12" s="1"/>
  <c r="G15" i="12" a="1"/>
  <c r="G15" i="12" s="1"/>
  <c r="G16" i="12" a="1"/>
  <c r="G16" i="12" s="1"/>
  <c r="G17" i="12" a="1"/>
  <c r="G17" i="12" s="1"/>
  <c r="G18" i="12" a="1"/>
  <c r="G18" i="12" s="1"/>
  <c r="G19" i="12" a="1"/>
  <c r="G19" i="12" s="1"/>
  <c r="G20" i="12" a="1"/>
  <c r="G20" i="12" s="1"/>
  <c r="G21" i="12" a="1"/>
  <c r="G21" i="12" s="1"/>
  <c r="G22" i="12" a="1"/>
  <c r="G22" i="12" s="1"/>
  <c r="G23" i="12" a="1"/>
  <c r="G23" i="12" s="1"/>
  <c r="G24" i="12" a="1"/>
  <c r="G24" i="12" s="1"/>
  <c r="G25" i="12" a="1"/>
  <c r="G25" i="12" s="1"/>
  <c r="G26" i="12" a="1"/>
  <c r="G26" i="12" s="1"/>
  <c r="G27" i="12" a="1"/>
  <c r="G27" i="12" s="1"/>
  <c r="G28" i="12" a="1"/>
  <c r="G28" i="12" s="1"/>
  <c r="G29" i="12" a="1"/>
  <c r="G29" i="12" s="1"/>
  <c r="G30" i="12" a="1"/>
  <c r="G30" i="12" s="1"/>
  <c r="G31" i="12" a="1"/>
  <c r="G31" i="12" s="1"/>
  <c r="G32" i="12" a="1"/>
  <c r="G32" i="12" s="1"/>
  <c r="G33" i="12" a="1"/>
  <c r="G33" i="12" s="1"/>
  <c r="G34" i="12" a="1"/>
  <c r="G34" i="12" s="1"/>
  <c r="G35" i="12" a="1"/>
  <c r="G35" i="12" s="1"/>
  <c r="G36" i="12" a="1"/>
  <c r="G36" i="12" s="1"/>
  <c r="G37" i="12" a="1"/>
  <c r="G37" i="12" s="1"/>
  <c r="G38" i="12" a="1"/>
  <c r="G38" i="12" s="1"/>
  <c r="G39" i="12" a="1"/>
  <c r="G39" i="12" s="1"/>
  <c r="G40" i="12" a="1"/>
  <c r="G40" i="12" s="1"/>
  <c r="G41" i="12" a="1"/>
  <c r="G41" i="12" s="1"/>
  <c r="G42" i="12" a="1"/>
  <c r="G42" i="12" s="1"/>
  <c r="G43" i="12" a="1"/>
  <c r="G43" i="12" s="1"/>
  <c r="G44" i="12" a="1"/>
  <c r="G44" i="12" s="1"/>
  <c r="G45" i="12" a="1"/>
  <c r="G45" i="12" s="1"/>
  <c r="G46" i="12" a="1"/>
  <c r="G46" i="12" s="1"/>
  <c r="G47" i="12" a="1"/>
  <c r="G47" i="12" s="1"/>
  <c r="G48" i="12" a="1"/>
  <c r="G48" i="12" s="1"/>
  <c r="G49" i="12" a="1"/>
  <c r="G49" i="12" s="1"/>
  <c r="G50" i="12" a="1"/>
  <c r="G50" i="12" s="1"/>
  <c r="G51" i="12" a="1"/>
  <c r="G51" i="12" s="1"/>
  <c r="G52" i="12" a="1"/>
  <c r="G52" i="12" s="1"/>
  <c r="G53" i="12" a="1"/>
  <c r="G53" i="12" s="1"/>
  <c r="G54" i="12" a="1"/>
  <c r="G54" i="12" s="1"/>
  <c r="G55" i="12" a="1"/>
  <c r="G55" i="12" s="1"/>
  <c r="G56" i="12" a="1"/>
  <c r="G56" i="12" s="1"/>
  <c r="G57" i="12" a="1"/>
  <c r="G57" i="12" s="1"/>
  <c r="G58" i="12" a="1"/>
  <c r="G58" i="12" s="1"/>
  <c r="G59" i="12" a="1"/>
  <c r="G59" i="12" s="1"/>
  <c r="G60" i="12" a="1"/>
  <c r="G60" i="12" s="1"/>
  <c r="G61" i="12" a="1"/>
  <c r="G61" i="12" s="1"/>
  <c r="Q60" i="12" a="1"/>
  <c r="Q60" i="12" s="1"/>
  <c r="Q61" i="12" a="1"/>
  <c r="Q61" i="12" s="1"/>
  <c r="R61" i="12" s="1"/>
  <c r="Q47" i="12" a="1"/>
  <c r="Q47" i="12" s="1"/>
  <c r="Q48" i="12" a="1"/>
  <c r="Q48" i="12" s="1"/>
  <c r="Q49" i="12" a="1"/>
  <c r="Q49" i="12" s="1"/>
  <c r="Q50" i="12" a="1"/>
  <c r="Q50" i="12" s="1"/>
  <c r="Q51" i="12" a="1"/>
  <c r="Q51" i="12" s="1"/>
  <c r="Q52" i="12" a="1"/>
  <c r="Q52" i="12" s="1"/>
  <c r="Q53" i="12" a="1"/>
  <c r="Q53" i="12" s="1"/>
  <c r="Q54" i="12" a="1"/>
  <c r="Q54" i="12" s="1"/>
  <c r="Q55" i="12" a="1"/>
  <c r="Q55" i="12" s="1"/>
  <c r="Q56" i="12" a="1"/>
  <c r="Q56" i="12" s="1"/>
  <c r="Q57" i="12" a="1"/>
  <c r="Q57" i="12" s="1"/>
  <c r="Q58" i="12" a="1"/>
  <c r="Q58" i="12" s="1"/>
  <c r="Q45" i="12" a="1"/>
  <c r="Q45" i="12" s="1"/>
  <c r="AC4" i="13"/>
  <c r="P26" i="13"/>
  <c r="R26" i="13" s="1"/>
  <c r="L26" i="13"/>
  <c r="K26" i="13"/>
  <c r="O10" i="16"/>
  <c r="P10" i="16" s="1"/>
  <c r="O9" i="16"/>
  <c r="Q8" i="16"/>
  <c r="J10" i="16"/>
  <c r="K10" i="16"/>
  <c r="J9" i="16"/>
  <c r="K9" i="16"/>
  <c r="AD4" i="7"/>
  <c r="AD6" i="7"/>
  <c r="R4" i="7"/>
  <c r="M61" i="12"/>
  <c r="L61" i="12"/>
  <c r="M60" i="12"/>
  <c r="L60" i="12"/>
  <c r="P24" i="13"/>
  <c r="R24" i="13" s="1"/>
  <c r="L24" i="13"/>
  <c r="K24" i="13"/>
  <c r="K12" i="14"/>
  <c r="L12" i="14"/>
  <c r="P12" i="14"/>
  <c r="R12" i="14" s="1"/>
  <c r="N191" i="8" l="1"/>
  <c r="N91" i="16"/>
  <c r="N189" i="8"/>
  <c r="N9" i="16"/>
  <c r="O26" i="13"/>
  <c r="N196" i="8"/>
  <c r="N188" i="8"/>
  <c r="N115" i="16"/>
  <c r="N195" i="8"/>
  <c r="N187" i="8"/>
  <c r="N10" i="16"/>
  <c r="N112" i="16"/>
  <c r="N94" i="16"/>
  <c r="O12" i="14"/>
  <c r="L75" i="11"/>
  <c r="L74" i="11"/>
  <c r="L73" i="11"/>
  <c r="E3" i="12"/>
  <c r="M26" i="13"/>
  <c r="L115" i="16"/>
  <c r="Q115" i="16"/>
  <c r="P115" i="16"/>
  <c r="L114" i="16"/>
  <c r="E4" i="12"/>
  <c r="R46" i="12"/>
  <c r="N60" i="12"/>
  <c r="Q26" i="13"/>
  <c r="L10" i="16"/>
  <c r="Q10" i="16"/>
  <c r="L9" i="16"/>
  <c r="P9" i="16"/>
  <c r="Q9" i="16"/>
  <c r="N61" i="12"/>
  <c r="R60" i="12"/>
  <c r="Q24" i="13"/>
  <c r="M24" i="13"/>
  <c r="Q12" i="14"/>
  <c r="M12" i="14"/>
  <c r="J97" i="16"/>
  <c r="K97" i="16"/>
  <c r="O97" i="16"/>
  <c r="N97" i="16" s="1"/>
  <c r="J94" i="16"/>
  <c r="K94" i="16"/>
  <c r="O94" i="16"/>
  <c r="J91" i="16"/>
  <c r="K91" i="16"/>
  <c r="O91" i="16"/>
  <c r="J84" i="16"/>
  <c r="K84" i="16"/>
  <c r="O84" i="16"/>
  <c r="N84" i="16" s="1"/>
  <c r="Q84" i="16" l="1"/>
  <c r="Q97" i="16"/>
  <c r="P91" i="16"/>
  <c r="P94" i="16"/>
  <c r="L97" i="16"/>
  <c r="P97" i="16"/>
  <c r="L91" i="16"/>
  <c r="Q94" i="16"/>
  <c r="L94" i="16"/>
  <c r="Q91" i="16"/>
  <c r="P84" i="16"/>
  <c r="L84" i="16"/>
  <c r="R4" i="8" l="1"/>
  <c r="S4" i="13"/>
  <c r="P21" i="13"/>
  <c r="O21" i="13" s="1"/>
  <c r="L21" i="13"/>
  <c r="K21" i="13"/>
  <c r="P17" i="13"/>
  <c r="O17" i="13" s="1"/>
  <c r="L17" i="13"/>
  <c r="K17" i="13"/>
  <c r="AB4" i="13"/>
  <c r="AA4" i="13"/>
  <c r="Z4" i="13"/>
  <c r="Y4" i="13"/>
  <c r="X4" i="13"/>
  <c r="W4" i="13"/>
  <c r="V4" i="13"/>
  <c r="U4" i="13"/>
  <c r="T4" i="13"/>
  <c r="K9" i="13"/>
  <c r="L9" i="13"/>
  <c r="P9" i="13"/>
  <c r="O9" i="13" s="1"/>
  <c r="AA4" i="7"/>
  <c r="Z4" i="7"/>
  <c r="Y4" i="7"/>
  <c r="X4" i="7"/>
  <c r="W4" i="7"/>
  <c r="V4" i="7"/>
  <c r="U4" i="7"/>
  <c r="T4" i="7"/>
  <c r="S4" i="7"/>
  <c r="E4" i="7"/>
  <c r="D25" i="15" s="1"/>
  <c r="AA4" i="8"/>
  <c r="Z4" i="8"/>
  <c r="Y4" i="8"/>
  <c r="X4" i="8"/>
  <c r="W4" i="8"/>
  <c r="V4" i="8"/>
  <c r="U4" i="8"/>
  <c r="T4" i="8"/>
  <c r="S4" i="8"/>
  <c r="AE4" i="16"/>
  <c r="AD4" i="16"/>
  <c r="AC4" i="16"/>
  <c r="AB4" i="16"/>
  <c r="T49" i="15" s="1"/>
  <c r="R17" i="13" l="1"/>
  <c r="R21" i="13"/>
  <c r="R9" i="13"/>
  <c r="M21" i="13"/>
  <c r="Q21" i="13"/>
  <c r="M17" i="13"/>
  <c r="Q17" i="13"/>
  <c r="Q9" i="13"/>
  <c r="M9" i="13"/>
  <c r="J104" i="16" l="1"/>
  <c r="K104" i="16"/>
  <c r="O104" i="16"/>
  <c r="N104" i="16" s="1"/>
  <c r="O102" i="16"/>
  <c r="N102" i="16" s="1"/>
  <c r="O103" i="16"/>
  <c r="N103" i="16" s="1"/>
  <c r="O105" i="16"/>
  <c r="N105" i="16" s="1"/>
  <c r="O106" i="16"/>
  <c r="N106" i="16" s="1"/>
  <c r="O107" i="16"/>
  <c r="N107" i="16" s="1"/>
  <c r="O108" i="16"/>
  <c r="N108" i="16" s="1"/>
  <c r="O109" i="16"/>
  <c r="N109" i="16" s="1"/>
  <c r="O110" i="16"/>
  <c r="N110" i="16" s="1"/>
  <c r="O111" i="16"/>
  <c r="N111" i="16" s="1"/>
  <c r="Q112" i="16"/>
  <c r="O113" i="16"/>
  <c r="N113" i="16" s="1"/>
  <c r="J102" i="16"/>
  <c r="J103" i="16"/>
  <c r="J105" i="16"/>
  <c r="J106" i="16"/>
  <c r="J107" i="16"/>
  <c r="J108" i="16"/>
  <c r="J109" i="16"/>
  <c r="J110" i="16"/>
  <c r="J111" i="16"/>
  <c r="J112" i="16"/>
  <c r="J113" i="16"/>
  <c r="K102" i="16"/>
  <c r="K103" i="16"/>
  <c r="K105" i="16"/>
  <c r="K106" i="16"/>
  <c r="K107" i="16"/>
  <c r="K108" i="16"/>
  <c r="K109" i="16"/>
  <c r="K110" i="16"/>
  <c r="K111" i="16"/>
  <c r="K112" i="16"/>
  <c r="K113" i="16"/>
  <c r="P105" i="16" l="1"/>
  <c r="Q103" i="16"/>
  <c r="P107" i="16"/>
  <c r="P102" i="16"/>
  <c r="P113" i="16"/>
  <c r="P111" i="16"/>
  <c r="P109" i="16"/>
  <c r="P108" i="16"/>
  <c r="L102" i="16"/>
  <c r="L111" i="16"/>
  <c r="L108" i="16"/>
  <c r="L110" i="16"/>
  <c r="Q111" i="16"/>
  <c r="L113" i="16"/>
  <c r="L105" i="16"/>
  <c r="L106" i="16"/>
  <c r="L104" i="16"/>
  <c r="Q104" i="16"/>
  <c r="P104" i="16"/>
  <c r="Q110" i="16"/>
  <c r="Q106" i="16"/>
  <c r="P110" i="16"/>
  <c r="P106" i="16"/>
  <c r="Q109" i="16"/>
  <c r="P112" i="16"/>
  <c r="P103" i="16"/>
  <c r="Q102" i="16"/>
  <c r="L109" i="16"/>
  <c r="Q108" i="16"/>
  <c r="Q113" i="16"/>
  <c r="Q105" i="16"/>
  <c r="Q107" i="16"/>
  <c r="L107" i="16"/>
  <c r="L112" i="16"/>
  <c r="L103" i="16"/>
  <c r="O99" i="16"/>
  <c r="N99" i="16" s="1"/>
  <c r="O82" i="16"/>
  <c r="N82" i="16" s="1"/>
  <c r="O85" i="16"/>
  <c r="N85" i="16" s="1"/>
  <c r="O86" i="16"/>
  <c r="N86" i="16" s="1"/>
  <c r="O87" i="16"/>
  <c r="N87" i="16" s="1"/>
  <c r="O88" i="16"/>
  <c r="N88" i="16" s="1"/>
  <c r="O89" i="16"/>
  <c r="N89" i="16" s="1"/>
  <c r="O90" i="16"/>
  <c r="N90" i="16" s="1"/>
  <c r="O92" i="16"/>
  <c r="N92" i="16" s="1"/>
  <c r="O93" i="16"/>
  <c r="N93" i="16" s="1"/>
  <c r="O95" i="16"/>
  <c r="N95" i="16" s="1"/>
  <c r="O96" i="16"/>
  <c r="N96" i="16" s="1"/>
  <c r="O98" i="16"/>
  <c r="N98" i="16" s="1"/>
  <c r="O100" i="16"/>
  <c r="N100" i="16" s="1"/>
  <c r="O69" i="16"/>
  <c r="N69" i="16" s="1"/>
  <c r="O40" i="16"/>
  <c r="N40" i="16" s="1"/>
  <c r="O41" i="16"/>
  <c r="N41" i="16" s="1"/>
  <c r="O42" i="16"/>
  <c r="N42" i="16" s="1"/>
  <c r="O43" i="16"/>
  <c r="N43" i="16" s="1"/>
  <c r="O44" i="16"/>
  <c r="N44" i="16" s="1"/>
  <c r="O45" i="16"/>
  <c r="N45" i="16" s="1"/>
  <c r="O46" i="16"/>
  <c r="N46" i="16" s="1"/>
  <c r="O47" i="16"/>
  <c r="N47" i="16" s="1"/>
  <c r="O48" i="16"/>
  <c r="N48" i="16" s="1"/>
  <c r="O49" i="16"/>
  <c r="N49" i="16" s="1"/>
  <c r="O50" i="16"/>
  <c r="N50" i="16" s="1"/>
  <c r="O51" i="16"/>
  <c r="N51" i="16" s="1"/>
  <c r="O52" i="16"/>
  <c r="N52" i="16" s="1"/>
  <c r="O53" i="16"/>
  <c r="N53" i="16" s="1"/>
  <c r="O54" i="16"/>
  <c r="N54" i="16" s="1"/>
  <c r="O55" i="16"/>
  <c r="N55" i="16" s="1"/>
  <c r="O56" i="16"/>
  <c r="N56" i="16" s="1"/>
  <c r="O28" i="16"/>
  <c r="N28" i="16" s="1"/>
  <c r="O29" i="16"/>
  <c r="N29" i="16" s="1"/>
  <c r="O30" i="16"/>
  <c r="N30" i="16" s="1"/>
  <c r="O31" i="16"/>
  <c r="N31" i="16" s="1"/>
  <c r="O32" i="16"/>
  <c r="N32" i="16" s="1"/>
  <c r="O33" i="16"/>
  <c r="N33" i="16" s="1"/>
  <c r="O34" i="16"/>
  <c r="N34" i="16" s="1"/>
  <c r="O35" i="16"/>
  <c r="N35" i="16" s="1"/>
  <c r="O36" i="16"/>
  <c r="N36" i="16" s="1"/>
  <c r="O37" i="16"/>
  <c r="N37" i="16" s="1"/>
  <c r="L13" i="13"/>
  <c r="L15" i="13"/>
  <c r="L18" i="13"/>
  <c r="L20" i="13"/>
  <c r="L22" i="13"/>
  <c r="L19" i="13"/>
  <c r="L10" i="13"/>
  <c r="L11" i="13"/>
  <c r="L14" i="13"/>
  <c r="L16" i="13"/>
  <c r="L12" i="13"/>
  <c r="K13" i="13"/>
  <c r="K15" i="13"/>
  <c r="K18" i="13"/>
  <c r="K20" i="13"/>
  <c r="K22" i="13"/>
  <c r="K19" i="13"/>
  <c r="K10" i="13"/>
  <c r="K11" i="13"/>
  <c r="K14" i="13"/>
  <c r="K16" i="13"/>
  <c r="K12" i="13"/>
  <c r="Q96" i="16" l="1"/>
  <c r="Q86" i="16"/>
  <c r="P85" i="16"/>
  <c r="P93" i="16"/>
  <c r="Q92" i="16"/>
  <c r="P87" i="16"/>
  <c r="Q89" i="16"/>
  <c r="Q100" i="16"/>
  <c r="Q88" i="16"/>
  <c r="P82" i="16"/>
  <c r="Q82" i="16"/>
  <c r="Q93" i="16"/>
  <c r="Q90" i="16"/>
  <c r="Q95" i="16"/>
  <c r="Q85" i="16"/>
  <c r="P96" i="16"/>
  <c r="P95" i="16"/>
  <c r="P90" i="16"/>
  <c r="Q87" i="16"/>
  <c r="P88" i="16"/>
  <c r="P86" i="16"/>
  <c r="P92" i="16"/>
  <c r="P89" i="16"/>
  <c r="P98" i="16"/>
  <c r="Q98" i="16"/>
  <c r="Q99" i="16"/>
  <c r="P99" i="16"/>
  <c r="P100" i="16"/>
  <c r="P12" i="13"/>
  <c r="O12" i="13" s="1"/>
  <c r="P13" i="13"/>
  <c r="O13" i="13" s="1"/>
  <c r="P15" i="13"/>
  <c r="O15" i="13" s="1"/>
  <c r="P18" i="13"/>
  <c r="O18" i="13" s="1"/>
  <c r="P20" i="13"/>
  <c r="O20" i="13" s="1"/>
  <c r="P22" i="13"/>
  <c r="O22" i="13" s="1"/>
  <c r="P19" i="13"/>
  <c r="O19" i="13" s="1"/>
  <c r="P10" i="13"/>
  <c r="O10" i="13" s="1"/>
  <c r="P11" i="13"/>
  <c r="O11" i="13" s="1"/>
  <c r="P14" i="13"/>
  <c r="O14" i="13" s="1"/>
  <c r="P16" i="13"/>
  <c r="O16" i="13" s="1"/>
  <c r="J173" i="8"/>
  <c r="J174" i="8"/>
  <c r="J175" i="8"/>
  <c r="J176" i="8"/>
  <c r="J177" i="8"/>
  <c r="J178" i="8"/>
  <c r="J179" i="8"/>
  <c r="J180" i="8"/>
  <c r="J181" i="8"/>
  <c r="J182" i="8"/>
  <c r="K173" i="8"/>
  <c r="K174" i="8"/>
  <c r="K175" i="8"/>
  <c r="K176" i="8"/>
  <c r="K177" i="8"/>
  <c r="K178" i="8"/>
  <c r="K179" i="8"/>
  <c r="K180" i="8"/>
  <c r="K181" i="8"/>
  <c r="K182" i="8"/>
  <c r="O173" i="8"/>
  <c r="N173" i="8" s="1"/>
  <c r="O174" i="8"/>
  <c r="N174" i="8" s="1"/>
  <c r="O175" i="8"/>
  <c r="N175" i="8" s="1"/>
  <c r="O176" i="8"/>
  <c r="N176" i="8" s="1"/>
  <c r="O177" i="8"/>
  <c r="N177" i="8" s="1"/>
  <c r="O178" i="8"/>
  <c r="N178" i="8" s="1"/>
  <c r="O179" i="8"/>
  <c r="N179" i="8" s="1"/>
  <c r="O180" i="8"/>
  <c r="N180" i="8" s="1"/>
  <c r="O181" i="8"/>
  <c r="N181" i="8" s="1"/>
  <c r="O182" i="8"/>
  <c r="N182" i="8" s="1"/>
  <c r="P172" i="8"/>
  <c r="O124" i="7"/>
  <c r="N124" i="7" s="1"/>
  <c r="O125" i="7"/>
  <c r="N125" i="7" s="1"/>
  <c r="O126" i="7"/>
  <c r="N126" i="7" s="1"/>
  <c r="O127" i="7"/>
  <c r="N127" i="7" s="1"/>
  <c r="O128" i="7"/>
  <c r="N128" i="7" s="1"/>
  <c r="O129" i="7"/>
  <c r="N129" i="7" s="1"/>
  <c r="O130" i="7"/>
  <c r="N130" i="7" s="1"/>
  <c r="O131" i="7"/>
  <c r="N131" i="7" s="1"/>
  <c r="O132" i="7"/>
  <c r="N132" i="7" s="1"/>
  <c r="O133" i="7"/>
  <c r="N133" i="7" s="1"/>
  <c r="O134" i="7"/>
  <c r="N134" i="7" s="1"/>
  <c r="O123" i="7"/>
  <c r="N123" i="7" s="1"/>
  <c r="O114" i="7"/>
  <c r="N114" i="7" s="1"/>
  <c r="O115" i="7"/>
  <c r="N115" i="7" s="1"/>
  <c r="O116" i="7"/>
  <c r="N116" i="7" s="1"/>
  <c r="O117" i="7"/>
  <c r="N117" i="7" s="1"/>
  <c r="O118" i="7"/>
  <c r="N118" i="7" s="1"/>
  <c r="O119" i="7"/>
  <c r="N119" i="7" s="1"/>
  <c r="O120" i="7"/>
  <c r="N120" i="7" s="1"/>
  <c r="O121" i="7"/>
  <c r="N121" i="7" s="1"/>
  <c r="O113" i="7"/>
  <c r="N113" i="7" s="1"/>
  <c r="O95" i="7"/>
  <c r="N95" i="7" s="1"/>
  <c r="O96" i="7"/>
  <c r="N96" i="7" s="1"/>
  <c r="O97" i="7"/>
  <c r="N97" i="7" s="1"/>
  <c r="O98" i="7"/>
  <c r="N98" i="7" s="1"/>
  <c r="O99" i="7"/>
  <c r="N99" i="7" s="1"/>
  <c r="O100" i="7"/>
  <c r="N100" i="7" s="1"/>
  <c r="O101" i="7"/>
  <c r="N101" i="7" s="1"/>
  <c r="O102" i="7"/>
  <c r="N102" i="7" s="1"/>
  <c r="O103" i="7"/>
  <c r="N103" i="7" s="1"/>
  <c r="O104" i="7"/>
  <c r="N104" i="7" s="1"/>
  <c r="O105" i="7"/>
  <c r="N105" i="7" s="1"/>
  <c r="O106" i="7"/>
  <c r="N106" i="7" s="1"/>
  <c r="O107" i="7"/>
  <c r="N107" i="7" s="1"/>
  <c r="O108" i="7"/>
  <c r="N108" i="7" s="1"/>
  <c r="O109" i="7"/>
  <c r="N109" i="7" s="1"/>
  <c r="O110" i="7"/>
  <c r="N110" i="7" s="1"/>
  <c r="O111" i="7"/>
  <c r="N111" i="7" s="1"/>
  <c r="O94" i="7"/>
  <c r="N94" i="7" s="1"/>
  <c r="X43" i="15"/>
  <c r="K134" i="7"/>
  <c r="J134" i="7"/>
  <c r="K133" i="7"/>
  <c r="J133" i="7"/>
  <c r="K132" i="7"/>
  <c r="J132" i="7"/>
  <c r="K131" i="7"/>
  <c r="J131" i="7"/>
  <c r="K130" i="7"/>
  <c r="J130" i="7"/>
  <c r="K129" i="7"/>
  <c r="J129" i="7"/>
  <c r="K128" i="7"/>
  <c r="J128" i="7"/>
  <c r="K127" i="7"/>
  <c r="J127" i="7"/>
  <c r="K126" i="7"/>
  <c r="J126" i="7"/>
  <c r="K125" i="7"/>
  <c r="J125" i="7"/>
  <c r="K124" i="7"/>
  <c r="J124" i="7"/>
  <c r="K123" i="7"/>
  <c r="J123" i="7"/>
  <c r="K121" i="7"/>
  <c r="J121" i="7"/>
  <c r="K120" i="7"/>
  <c r="J120" i="7"/>
  <c r="K119" i="7"/>
  <c r="J119" i="7"/>
  <c r="K118" i="7"/>
  <c r="J118" i="7"/>
  <c r="K117" i="7"/>
  <c r="J117" i="7"/>
  <c r="K116" i="7"/>
  <c r="J116" i="7"/>
  <c r="K115" i="7"/>
  <c r="J115" i="7"/>
  <c r="K114" i="7"/>
  <c r="J114" i="7"/>
  <c r="K113" i="7"/>
  <c r="J113" i="7"/>
  <c r="O80" i="16"/>
  <c r="N80" i="16" s="1"/>
  <c r="O79" i="16"/>
  <c r="N79" i="16" s="1"/>
  <c r="O81" i="16"/>
  <c r="N81" i="16" s="1"/>
  <c r="J79" i="16"/>
  <c r="J80" i="16"/>
  <c r="J81" i="16"/>
  <c r="J82" i="16"/>
  <c r="K79" i="16"/>
  <c r="K80" i="16"/>
  <c r="K81" i="16"/>
  <c r="K82" i="16"/>
  <c r="O78" i="16"/>
  <c r="N78" i="16" s="1"/>
  <c r="L78" i="16"/>
  <c r="K78" i="16"/>
  <c r="J78" i="16"/>
  <c r="O77" i="16"/>
  <c r="N77" i="16" s="1"/>
  <c r="L77" i="16"/>
  <c r="K77" i="16"/>
  <c r="J77" i="16"/>
  <c r="O76" i="16"/>
  <c r="N76" i="16" s="1"/>
  <c r="L76" i="16"/>
  <c r="K76" i="16"/>
  <c r="J76" i="16"/>
  <c r="O75" i="16"/>
  <c r="N75" i="16" s="1"/>
  <c r="L75" i="16"/>
  <c r="K75" i="16"/>
  <c r="J75" i="16"/>
  <c r="O74" i="16"/>
  <c r="N74" i="16" s="1"/>
  <c r="L74" i="16"/>
  <c r="K74" i="16"/>
  <c r="J74" i="16"/>
  <c r="O73" i="16"/>
  <c r="N73" i="16" s="1"/>
  <c r="L73" i="16"/>
  <c r="K73" i="16"/>
  <c r="J73" i="16"/>
  <c r="O72" i="16"/>
  <c r="N72" i="16" s="1"/>
  <c r="L72" i="16"/>
  <c r="K72" i="16"/>
  <c r="J72" i="16"/>
  <c r="O71" i="16"/>
  <c r="N71" i="16" s="1"/>
  <c r="L71" i="16"/>
  <c r="K71" i="16"/>
  <c r="J71" i="16"/>
  <c r="O70" i="16"/>
  <c r="N70" i="16" s="1"/>
  <c r="L70" i="16"/>
  <c r="K70" i="16"/>
  <c r="J70" i="16"/>
  <c r="L69" i="16"/>
  <c r="K69" i="16"/>
  <c r="J69" i="16"/>
  <c r="O24" i="16"/>
  <c r="N24" i="16" s="1"/>
  <c r="K24" i="16"/>
  <c r="J24" i="16"/>
  <c r="AA4" i="11"/>
  <c r="Z4" i="11"/>
  <c r="R4" i="11"/>
  <c r="W46" i="15" a="1"/>
  <c r="W46" i="15" s="1"/>
  <c r="X49" i="15" s="1"/>
  <c r="V46" i="15" a="1"/>
  <c r="V46" i="15" s="1"/>
  <c r="W49" i="15" s="1"/>
  <c r="U46" i="15" a="1"/>
  <c r="U46" i="15" s="1"/>
  <c r="V49" i="15" s="1"/>
  <c r="T46" i="15" a="1"/>
  <c r="T46" i="15" s="1"/>
  <c r="U49" i="15" s="1"/>
  <c r="P9" i="14"/>
  <c r="O9" i="14" s="1"/>
  <c r="P10" i="14"/>
  <c r="O10" i="14" s="1"/>
  <c r="P11" i="14"/>
  <c r="O11" i="14" s="1"/>
  <c r="P8" i="14"/>
  <c r="O8" i="14" s="1"/>
  <c r="O67" i="16"/>
  <c r="N67" i="16" s="1"/>
  <c r="O59" i="16"/>
  <c r="N59" i="16" s="1"/>
  <c r="O60" i="16"/>
  <c r="N60" i="16" s="1"/>
  <c r="O61" i="16"/>
  <c r="N61" i="16" s="1"/>
  <c r="O62" i="16"/>
  <c r="N62" i="16" s="1"/>
  <c r="O63" i="16"/>
  <c r="N63" i="16" s="1"/>
  <c r="O64" i="16"/>
  <c r="N64" i="16" s="1"/>
  <c r="O65" i="16"/>
  <c r="N65" i="16" s="1"/>
  <c r="O66" i="16"/>
  <c r="N66" i="16" s="1"/>
  <c r="O58" i="16"/>
  <c r="N58" i="16" s="1"/>
  <c r="O39" i="16"/>
  <c r="N39" i="16" s="1"/>
  <c r="O27" i="16"/>
  <c r="N27" i="16" s="1"/>
  <c r="O13" i="16"/>
  <c r="N13" i="16" s="1"/>
  <c r="O14" i="16"/>
  <c r="N14" i="16" s="1"/>
  <c r="O15" i="16"/>
  <c r="N15" i="16" s="1"/>
  <c r="O16" i="16"/>
  <c r="N16" i="16" s="1"/>
  <c r="O17" i="16"/>
  <c r="N17" i="16" s="1"/>
  <c r="O18" i="16"/>
  <c r="N18" i="16" s="1"/>
  <c r="O19" i="16"/>
  <c r="N19" i="16" s="1"/>
  <c r="O20" i="16"/>
  <c r="N20" i="16" s="1"/>
  <c r="O21" i="16"/>
  <c r="N21" i="16" s="1"/>
  <c r="O22" i="16"/>
  <c r="N22" i="16" s="1"/>
  <c r="O23" i="16"/>
  <c r="N23" i="16" s="1"/>
  <c r="O25" i="16"/>
  <c r="N25" i="16" s="1"/>
  <c r="O12" i="16"/>
  <c r="N12" i="16" s="1"/>
  <c r="E4" i="11"/>
  <c r="D29" i="15" s="1"/>
  <c r="D27" i="15"/>
  <c r="AE6" i="16"/>
  <c r="AD6" i="16"/>
  <c r="AC6" i="16"/>
  <c r="AB6" i="16"/>
  <c r="L67" i="16"/>
  <c r="K67" i="16"/>
  <c r="J67" i="16"/>
  <c r="L66" i="16"/>
  <c r="K66" i="16"/>
  <c r="J66" i="16"/>
  <c r="L65" i="16"/>
  <c r="K65" i="16"/>
  <c r="J65" i="16"/>
  <c r="L64" i="16"/>
  <c r="K64" i="16"/>
  <c r="J64" i="16"/>
  <c r="L63" i="16"/>
  <c r="K63" i="16"/>
  <c r="J63" i="16"/>
  <c r="L62" i="16"/>
  <c r="K62" i="16"/>
  <c r="J62" i="16"/>
  <c r="L61" i="16"/>
  <c r="K61" i="16"/>
  <c r="J61" i="16"/>
  <c r="L60" i="16"/>
  <c r="K60" i="16"/>
  <c r="J60" i="16"/>
  <c r="L59" i="16"/>
  <c r="K59" i="16"/>
  <c r="J59" i="16"/>
  <c r="L58" i="16"/>
  <c r="K58" i="16"/>
  <c r="J58" i="16"/>
  <c r="O77" i="11"/>
  <c r="N77" i="11" s="1"/>
  <c r="O76" i="11"/>
  <c r="N76" i="11" s="1"/>
  <c r="O71" i="11"/>
  <c r="N71" i="11" s="1"/>
  <c r="AE50" i="12"/>
  <c r="M18" i="13" l="1"/>
  <c r="M15" i="13"/>
  <c r="M13" i="13"/>
  <c r="M12" i="13"/>
  <c r="M22" i="13"/>
  <c r="M20" i="13"/>
  <c r="P175" i="8"/>
  <c r="P181" i="8"/>
  <c r="P173" i="8"/>
  <c r="P180" i="8"/>
  <c r="P179" i="8"/>
  <c r="Q10" i="14"/>
  <c r="Q11" i="14"/>
  <c r="Q9" i="14"/>
  <c r="Q8" i="14"/>
  <c r="Q24" i="16"/>
  <c r="P132" i="7"/>
  <c r="P131" i="7"/>
  <c r="P115" i="7"/>
  <c r="P114" i="7"/>
  <c r="P123" i="7"/>
  <c r="P134" i="7"/>
  <c r="P126" i="7"/>
  <c r="P118" i="7"/>
  <c r="P124" i="7"/>
  <c r="P130" i="7"/>
  <c r="P127" i="7"/>
  <c r="P119" i="7"/>
  <c r="L175" i="8"/>
  <c r="L178" i="8"/>
  <c r="L179" i="8"/>
  <c r="L173" i="8"/>
  <c r="Q80" i="16"/>
  <c r="Q81" i="16"/>
  <c r="Q79" i="16"/>
  <c r="Q63" i="16"/>
  <c r="P78" i="16"/>
  <c r="P76" i="16"/>
  <c r="Q72" i="16"/>
  <c r="Q71" i="16"/>
  <c r="Q73" i="16"/>
  <c r="Q77" i="16"/>
  <c r="P70" i="16"/>
  <c r="Q74" i="16"/>
  <c r="Q75" i="16"/>
  <c r="Q69" i="16"/>
  <c r="Q64" i="16"/>
  <c r="Q62" i="16"/>
  <c r="P66" i="16"/>
  <c r="Q60" i="16"/>
  <c r="P67" i="16"/>
  <c r="P61" i="16"/>
  <c r="P59" i="16"/>
  <c r="P58" i="16"/>
  <c r="L174" i="8"/>
  <c r="R16" i="13"/>
  <c r="M16" i="13"/>
  <c r="L177" i="8"/>
  <c r="L180" i="8"/>
  <c r="M14" i="13"/>
  <c r="R14" i="13"/>
  <c r="R11" i="13"/>
  <c r="M11" i="13"/>
  <c r="M19" i="13"/>
  <c r="R19" i="13"/>
  <c r="R10" i="13"/>
  <c r="M10" i="13"/>
  <c r="P177" i="8"/>
  <c r="L176" i="8"/>
  <c r="L182" i="8"/>
  <c r="L181" i="8"/>
  <c r="P178" i="8"/>
  <c r="P176" i="8"/>
  <c r="P182" i="8"/>
  <c r="P174" i="8"/>
  <c r="P80" i="16"/>
  <c r="B43" i="15" a="1"/>
  <c r="B43" i="15" s="1"/>
  <c r="Q67" i="16"/>
  <c r="P128" i="7"/>
  <c r="Y49" i="15"/>
  <c r="L119" i="7"/>
  <c r="P133" i="7"/>
  <c r="L126" i="7"/>
  <c r="L123" i="7"/>
  <c r="L127" i="7"/>
  <c r="P129" i="7"/>
  <c r="L132" i="7"/>
  <c r="P125" i="7"/>
  <c r="L124" i="7"/>
  <c r="L128" i="7"/>
  <c r="L115" i="7"/>
  <c r="P113" i="7"/>
  <c r="P117" i="7"/>
  <c r="P121" i="7"/>
  <c r="L131" i="7"/>
  <c r="L114" i="7"/>
  <c r="L118" i="7"/>
  <c r="L130" i="7"/>
  <c r="L134" i="7"/>
  <c r="L125" i="7"/>
  <c r="L129" i="7"/>
  <c r="L133" i="7"/>
  <c r="L113" i="7"/>
  <c r="L117" i="7"/>
  <c r="L121" i="7"/>
  <c r="P116" i="7"/>
  <c r="L116" i="7"/>
  <c r="L120" i="7"/>
  <c r="P120" i="7"/>
  <c r="Q78" i="16"/>
  <c r="Q70" i="16"/>
  <c r="Q76" i="16"/>
  <c r="L82" i="16"/>
  <c r="L81" i="16"/>
  <c r="L79" i="16"/>
  <c r="L80" i="16"/>
  <c r="P71" i="16"/>
  <c r="P73" i="16"/>
  <c r="P81" i="16"/>
  <c r="P79" i="16"/>
  <c r="P77" i="16"/>
  <c r="P75" i="16"/>
  <c r="P69" i="16"/>
  <c r="P74" i="16"/>
  <c r="P72" i="16"/>
  <c r="L24" i="16"/>
  <c r="P24" i="16"/>
  <c r="P64" i="16"/>
  <c r="E4" i="14" a="1"/>
  <c r="E4" i="14" s="1"/>
  <c r="P60" i="16"/>
  <c r="Q61" i="16"/>
  <c r="P62" i="16"/>
  <c r="P63" i="16"/>
  <c r="P65" i="16"/>
  <c r="Q65" i="16"/>
  <c r="Q59" i="16"/>
  <c r="Q58" i="16"/>
  <c r="Q66" i="16"/>
  <c r="L52" i="12"/>
  <c r="M52" i="12"/>
  <c r="I43" i="15"/>
  <c r="L53" i="12"/>
  <c r="L54" i="12"/>
  <c r="L55" i="12"/>
  <c r="L56" i="12"/>
  <c r="L57" i="12"/>
  <c r="L58" i="12"/>
  <c r="M53" i="12"/>
  <c r="M54" i="12"/>
  <c r="M55" i="12"/>
  <c r="M56" i="12"/>
  <c r="M57" i="12"/>
  <c r="M58" i="12"/>
  <c r="R54" i="12"/>
  <c r="R58" i="12"/>
  <c r="AD6" i="12"/>
  <c r="AD4" i="12"/>
  <c r="AC6" i="12"/>
  <c r="AC4" i="12"/>
  <c r="AB4" i="12"/>
  <c r="R45" i="15" s="1"/>
  <c r="AA4" i="12"/>
  <c r="Z4" i="12"/>
  <c r="Y4" i="12"/>
  <c r="X4" i="12"/>
  <c r="W4" i="12"/>
  <c r="V4" i="12"/>
  <c r="U4" i="12"/>
  <c r="T4" i="12"/>
  <c r="S4" i="12"/>
  <c r="AB6" i="12"/>
  <c r="AA6" i="12"/>
  <c r="Z6" i="12"/>
  <c r="Y6" i="12"/>
  <c r="X6" i="12"/>
  <c r="W6" i="12"/>
  <c r="V6" i="12"/>
  <c r="U6" i="12"/>
  <c r="T6" i="12"/>
  <c r="S6" i="12"/>
  <c r="J76" i="11"/>
  <c r="K76" i="11"/>
  <c r="L76" i="11"/>
  <c r="J77" i="11"/>
  <c r="K77" i="11"/>
  <c r="L77" i="11"/>
  <c r="P111" i="7"/>
  <c r="K111" i="7"/>
  <c r="J111" i="7"/>
  <c r="K110" i="7"/>
  <c r="J110" i="7"/>
  <c r="K109" i="7"/>
  <c r="J109" i="7"/>
  <c r="K108" i="7"/>
  <c r="J108" i="7"/>
  <c r="P107" i="7"/>
  <c r="K107" i="7"/>
  <c r="J107" i="7"/>
  <c r="K106" i="7"/>
  <c r="J106" i="7"/>
  <c r="K105" i="7"/>
  <c r="J105" i="7"/>
  <c r="P104" i="7"/>
  <c r="K104" i="7"/>
  <c r="J104" i="7"/>
  <c r="P103" i="7"/>
  <c r="K103" i="7"/>
  <c r="J103" i="7"/>
  <c r="K102" i="7"/>
  <c r="J102" i="7"/>
  <c r="K101" i="7"/>
  <c r="J101" i="7"/>
  <c r="P100" i="7"/>
  <c r="K100" i="7"/>
  <c r="J100" i="7"/>
  <c r="P99" i="7"/>
  <c r="K99" i="7"/>
  <c r="J99" i="7"/>
  <c r="K98" i="7"/>
  <c r="J98" i="7"/>
  <c r="K97" i="7"/>
  <c r="J97" i="7"/>
  <c r="P96" i="7"/>
  <c r="K96" i="7"/>
  <c r="J96" i="7"/>
  <c r="P95" i="7"/>
  <c r="K95" i="7"/>
  <c r="J95" i="7"/>
  <c r="K94" i="7"/>
  <c r="J94" i="7"/>
  <c r="J170" i="8"/>
  <c r="J171" i="8"/>
  <c r="K170" i="8"/>
  <c r="K171" i="8"/>
  <c r="O170" i="8"/>
  <c r="N170" i="8" s="1"/>
  <c r="O171" i="8"/>
  <c r="N171" i="8" s="1"/>
  <c r="O169" i="8"/>
  <c r="N169" i="8" s="1"/>
  <c r="K169" i="8"/>
  <c r="O168" i="8"/>
  <c r="N168" i="8" s="1"/>
  <c r="K168" i="8"/>
  <c r="O167" i="8"/>
  <c r="N167" i="8" s="1"/>
  <c r="K167" i="8"/>
  <c r="O166" i="8"/>
  <c r="N166" i="8" s="1"/>
  <c r="K166" i="8"/>
  <c r="O165" i="8"/>
  <c r="N165" i="8" s="1"/>
  <c r="K165" i="8"/>
  <c r="O164" i="8"/>
  <c r="N164" i="8" s="1"/>
  <c r="K164" i="8"/>
  <c r="O163" i="8"/>
  <c r="N163" i="8" s="1"/>
  <c r="K163" i="8"/>
  <c r="O162" i="8"/>
  <c r="N162" i="8" s="1"/>
  <c r="K162" i="8"/>
  <c r="O161" i="8"/>
  <c r="N161" i="8" s="1"/>
  <c r="K161" i="8"/>
  <c r="O160" i="8"/>
  <c r="N160" i="8" s="1"/>
  <c r="K160" i="8"/>
  <c r="R46" i="15"/>
  <c r="Q46" i="15"/>
  <c r="P46" i="15"/>
  <c r="O46" i="15"/>
  <c r="N46" i="15"/>
  <c r="M46" i="15"/>
  <c r="L46" i="15"/>
  <c r="K46" i="15"/>
  <c r="J46" i="15"/>
  <c r="I46" i="15"/>
  <c r="O152" i="8"/>
  <c r="N152" i="8" s="1"/>
  <c r="O158" i="8"/>
  <c r="N158" i="8" s="1"/>
  <c r="O157" i="8"/>
  <c r="N157" i="8" s="1"/>
  <c r="O156" i="8"/>
  <c r="N156" i="8" s="1"/>
  <c r="O155" i="8"/>
  <c r="N155" i="8" s="1"/>
  <c r="O154" i="8"/>
  <c r="N154" i="8" s="1"/>
  <c r="O153" i="8"/>
  <c r="N153" i="8" s="1"/>
  <c r="O151" i="8"/>
  <c r="N151" i="8" s="1"/>
  <c r="O150" i="8"/>
  <c r="N150" i="8" s="1"/>
  <c r="O149" i="8"/>
  <c r="N149" i="8" s="1"/>
  <c r="K158" i="8"/>
  <c r="K157" i="8"/>
  <c r="K156" i="8"/>
  <c r="K155" i="8"/>
  <c r="K154" i="8"/>
  <c r="K153" i="8"/>
  <c r="K152" i="8"/>
  <c r="K151" i="8"/>
  <c r="K150" i="8"/>
  <c r="K149" i="8"/>
  <c r="R6" i="16"/>
  <c r="S6" i="16"/>
  <c r="T6" i="16"/>
  <c r="U6" i="16"/>
  <c r="V6" i="16"/>
  <c r="W6" i="16"/>
  <c r="X6" i="16"/>
  <c r="Y6" i="16"/>
  <c r="Z6" i="16"/>
  <c r="AA6" i="16"/>
  <c r="J12" i="16"/>
  <c r="K12" i="16"/>
  <c r="J13" i="16"/>
  <c r="K13" i="16"/>
  <c r="J14" i="16"/>
  <c r="K14" i="16"/>
  <c r="Q14" i="16"/>
  <c r="J15" i="16"/>
  <c r="K15" i="16"/>
  <c r="J16" i="16"/>
  <c r="Q16" i="16"/>
  <c r="J17" i="16"/>
  <c r="K17" i="16"/>
  <c r="P17" i="16"/>
  <c r="J18" i="16"/>
  <c r="K18" i="16"/>
  <c r="Q18" i="16"/>
  <c r="J19" i="16"/>
  <c r="K19" i="16"/>
  <c r="J20" i="16"/>
  <c r="K20" i="16"/>
  <c r="J21" i="16"/>
  <c r="K21" i="16"/>
  <c r="J22" i="16"/>
  <c r="K22" i="16"/>
  <c r="Q22" i="16"/>
  <c r="J23" i="16"/>
  <c r="K23" i="16"/>
  <c r="L23" i="16" s="1"/>
  <c r="J25" i="16"/>
  <c r="K25" i="16"/>
  <c r="J27" i="16"/>
  <c r="K27" i="16"/>
  <c r="J28" i="16"/>
  <c r="K28" i="16"/>
  <c r="Q28" i="16"/>
  <c r="J29" i="16"/>
  <c r="K29" i="16"/>
  <c r="J30" i="16"/>
  <c r="K30" i="16"/>
  <c r="P32" i="16"/>
  <c r="J33" i="16"/>
  <c r="K33" i="16"/>
  <c r="Q33" i="16"/>
  <c r="J34" i="16"/>
  <c r="K34" i="16"/>
  <c r="Q34" i="16"/>
  <c r="J35" i="16"/>
  <c r="K35" i="16"/>
  <c r="J36" i="16"/>
  <c r="K36" i="16"/>
  <c r="Q36" i="16"/>
  <c r="J37" i="16"/>
  <c r="K37" i="16"/>
  <c r="Q37" i="16"/>
  <c r="J39" i="16"/>
  <c r="K39" i="16"/>
  <c r="J40" i="16"/>
  <c r="K40" i="16"/>
  <c r="J41" i="16"/>
  <c r="K41" i="16"/>
  <c r="J42" i="16"/>
  <c r="K42" i="16"/>
  <c r="Q42" i="16"/>
  <c r="J43" i="16"/>
  <c r="K43" i="16"/>
  <c r="J44" i="16"/>
  <c r="K44" i="16"/>
  <c r="Q44" i="16"/>
  <c r="J45" i="16"/>
  <c r="K45" i="16"/>
  <c r="J46" i="16"/>
  <c r="K46" i="16"/>
  <c r="Q46" i="16"/>
  <c r="J47" i="16"/>
  <c r="K47" i="16"/>
  <c r="J48" i="16"/>
  <c r="K48" i="16"/>
  <c r="J49" i="16"/>
  <c r="K49" i="16"/>
  <c r="J50" i="16"/>
  <c r="K50" i="16"/>
  <c r="Q50" i="16"/>
  <c r="J51" i="16"/>
  <c r="K51" i="16"/>
  <c r="J52" i="16"/>
  <c r="K52" i="16"/>
  <c r="J53" i="16"/>
  <c r="K53" i="16"/>
  <c r="P53" i="16"/>
  <c r="J54" i="16"/>
  <c r="K54" i="16"/>
  <c r="Q54" i="16"/>
  <c r="J55" i="16"/>
  <c r="K55" i="16"/>
  <c r="J56" i="16"/>
  <c r="K56" i="16"/>
  <c r="P56" i="16"/>
  <c r="P171" i="8" l="1"/>
  <c r="P170" i="8"/>
  <c r="P164" i="8"/>
  <c r="P156" i="8"/>
  <c r="P155" i="8"/>
  <c r="P149" i="8"/>
  <c r="P158" i="8"/>
  <c r="P166" i="8"/>
  <c r="P165" i="8"/>
  <c r="P150" i="8"/>
  <c r="P151" i="8"/>
  <c r="P152" i="8"/>
  <c r="P153" i="8"/>
  <c r="P163" i="8"/>
  <c r="P167" i="8"/>
  <c r="P157" i="8"/>
  <c r="P154" i="8"/>
  <c r="J3" i="13"/>
  <c r="J32" i="16"/>
  <c r="K31" i="16"/>
  <c r="L31" i="16" s="1"/>
  <c r="B44" i="15" a="1"/>
  <c r="B44" i="15" s="1"/>
  <c r="D26" i="15"/>
  <c r="H46" i="15"/>
  <c r="L25" i="16"/>
  <c r="L168" i="8"/>
  <c r="J168" i="8" s="1"/>
  <c r="I168" i="8" s="1"/>
  <c r="L160" i="8"/>
  <c r="J160" i="8" s="1"/>
  <c r="I160" i="8" s="1"/>
  <c r="N52" i="12"/>
  <c r="L170" i="8"/>
  <c r="R52" i="12"/>
  <c r="N58" i="12"/>
  <c r="L45" i="16"/>
  <c r="L29" i="16"/>
  <c r="L19" i="16"/>
  <c r="L161" i="8"/>
  <c r="J161" i="8" s="1"/>
  <c r="I161" i="8" s="1"/>
  <c r="L169" i="8"/>
  <c r="J169" i="8" s="1"/>
  <c r="I169" i="8" s="1"/>
  <c r="L171" i="8"/>
  <c r="N55" i="12"/>
  <c r="N53" i="12"/>
  <c r="L165" i="8"/>
  <c r="J165" i="8" s="1"/>
  <c r="I165" i="8" s="1"/>
  <c r="J31" i="16"/>
  <c r="L15" i="16"/>
  <c r="L162" i="8"/>
  <c r="J162" i="8" s="1"/>
  <c r="I162" i="8" s="1"/>
  <c r="R53" i="12"/>
  <c r="N57" i="12"/>
  <c r="N56" i="12"/>
  <c r="R57" i="12"/>
  <c r="N54" i="12"/>
  <c r="R55" i="12"/>
  <c r="R56" i="12"/>
  <c r="P76" i="11"/>
  <c r="P77" i="11"/>
  <c r="L111" i="7"/>
  <c r="L97" i="7"/>
  <c r="L105" i="7"/>
  <c r="L109" i="7"/>
  <c r="L101" i="7"/>
  <c r="P106" i="7"/>
  <c r="P102" i="7"/>
  <c r="P98" i="7"/>
  <c r="P108" i="7"/>
  <c r="P110" i="7"/>
  <c r="L99" i="7"/>
  <c r="L103" i="7"/>
  <c r="L107" i="7"/>
  <c r="L96" i="7"/>
  <c r="L100" i="7"/>
  <c r="L104" i="7"/>
  <c r="L108" i="7"/>
  <c r="P94" i="7"/>
  <c r="L95" i="7"/>
  <c r="P97" i="7"/>
  <c r="P101" i="7"/>
  <c r="P105" i="7"/>
  <c r="P109" i="7"/>
  <c r="L94" i="7"/>
  <c r="L98" i="7"/>
  <c r="L102" i="7"/>
  <c r="L106" i="7"/>
  <c r="L110" i="7"/>
  <c r="P162" i="8"/>
  <c r="L166" i="8"/>
  <c r="J166" i="8" s="1"/>
  <c r="I166" i="8" s="1"/>
  <c r="L164" i="8"/>
  <c r="J164" i="8" s="1"/>
  <c r="I164" i="8" s="1"/>
  <c r="L167" i="8"/>
  <c r="J167" i="8" s="1"/>
  <c r="I167" i="8" s="1"/>
  <c r="P168" i="8"/>
  <c r="P161" i="8"/>
  <c r="P169" i="8"/>
  <c r="L163" i="8"/>
  <c r="J163" i="8" s="1"/>
  <c r="I163" i="8" s="1"/>
  <c r="P160" i="8"/>
  <c r="L52" i="16"/>
  <c r="Q19" i="16"/>
  <c r="P33" i="16"/>
  <c r="P44" i="16"/>
  <c r="L41" i="16"/>
  <c r="L30" i="16"/>
  <c r="L20" i="16"/>
  <c r="L12" i="16"/>
  <c r="L155" i="8"/>
  <c r="J155" i="8" s="1"/>
  <c r="I155" i="8" s="1"/>
  <c r="L156" i="8"/>
  <c r="J156" i="8" s="1"/>
  <c r="I156" i="8" s="1"/>
  <c r="L151" i="8"/>
  <c r="J151" i="8" s="1"/>
  <c r="I151" i="8" s="1"/>
  <c r="L153" i="8"/>
  <c r="J153" i="8" s="1"/>
  <c r="I153" i="8" s="1"/>
  <c r="L154" i="8"/>
  <c r="J154" i="8" s="1"/>
  <c r="I154" i="8" s="1"/>
  <c r="L152" i="8"/>
  <c r="J152" i="8" s="1"/>
  <c r="I152" i="8" s="1"/>
  <c r="L149" i="8"/>
  <c r="J149" i="8" s="1"/>
  <c r="I149" i="8" s="1"/>
  <c r="L157" i="8"/>
  <c r="J157" i="8" s="1"/>
  <c r="I157" i="8" s="1"/>
  <c r="L150" i="8"/>
  <c r="J150" i="8" s="1"/>
  <c r="I150" i="8" s="1"/>
  <c r="L158" i="8"/>
  <c r="J158" i="8" s="1"/>
  <c r="I158" i="8" s="1"/>
  <c r="P41" i="16"/>
  <c r="L55" i="16"/>
  <c r="L53" i="16"/>
  <c r="L43" i="16"/>
  <c r="L35" i="16"/>
  <c r="P40" i="16"/>
  <c r="P28" i="16"/>
  <c r="K32" i="16"/>
  <c r="L32" i="16" s="1"/>
  <c r="P52" i="16"/>
  <c r="P23" i="16"/>
  <c r="L49" i="16"/>
  <c r="L44" i="16"/>
  <c r="L34" i="16"/>
  <c r="P49" i="16"/>
  <c r="P16" i="16"/>
  <c r="P36" i="16"/>
  <c r="Q51" i="16"/>
  <c r="P51" i="16"/>
  <c r="P43" i="16"/>
  <c r="P35" i="16"/>
  <c r="P27" i="16"/>
  <c r="P18" i="16"/>
  <c r="P50" i="16"/>
  <c r="P42" i="16"/>
  <c r="P34" i="16"/>
  <c r="P55" i="16"/>
  <c r="P47" i="16"/>
  <c r="P39" i="16"/>
  <c r="P31" i="16"/>
  <c r="P22" i="16"/>
  <c r="P14" i="16"/>
  <c r="P48" i="16"/>
  <c r="P15" i="16"/>
  <c r="Q47" i="16"/>
  <c r="Q23" i="16"/>
  <c r="P54" i="16"/>
  <c r="P46" i="16"/>
  <c r="P30" i="16"/>
  <c r="P21" i="16"/>
  <c r="P13" i="16"/>
  <c r="P25" i="16"/>
  <c r="Q15" i="16"/>
  <c r="P45" i="16"/>
  <c r="P37" i="16"/>
  <c r="P29" i="16"/>
  <c r="P20" i="16"/>
  <c r="P12" i="16"/>
  <c r="P19" i="16"/>
  <c r="L17" i="16"/>
  <c r="L46" i="16"/>
  <c r="L50" i="16"/>
  <c r="L56" i="16"/>
  <c r="Q52" i="16"/>
  <c r="Q48" i="16"/>
  <c r="Q40" i="16"/>
  <c r="Q29" i="16"/>
  <c r="L48" i="16"/>
  <c r="Q39" i="16"/>
  <c r="Q32" i="16"/>
  <c r="L40" i="16"/>
  <c r="Q43" i="16"/>
  <c r="L42" i="16"/>
  <c r="L36" i="16"/>
  <c r="L54" i="16"/>
  <c r="Q27" i="16"/>
  <c r="Q21" i="16"/>
  <c r="Q17" i="16"/>
  <c r="L27" i="16"/>
  <c r="L21" i="16"/>
  <c r="Q56" i="16"/>
  <c r="Q55" i="16"/>
  <c r="Q13" i="16"/>
  <c r="L13" i="16"/>
  <c r="L37" i="16"/>
  <c r="L33" i="16"/>
  <c r="L28" i="16"/>
  <c r="L18" i="16"/>
  <c r="L51" i="16"/>
  <c r="L47" i="16"/>
  <c r="L39" i="16"/>
  <c r="Q35" i="16"/>
  <c r="Q30" i="16"/>
  <c r="Q25" i="16"/>
  <c r="Q20" i="16"/>
  <c r="Q12" i="16"/>
  <c r="L22" i="16"/>
  <c r="L14" i="16"/>
  <c r="Q53" i="16"/>
  <c r="Q49" i="16"/>
  <c r="Q45" i="16"/>
  <c r="Q41" i="16"/>
  <c r="Q31" i="16"/>
  <c r="K16" i="16"/>
  <c r="L16" i="16" s="1"/>
  <c r="D4" i="16" l="1"/>
  <c r="D28" i="15" s="1"/>
  <c r="D3" i="16"/>
  <c r="F28" i="15" s="1"/>
  <c r="E28" i="15"/>
  <c r="B48" i="15"/>
  <c r="B52" i="15"/>
  <c r="B54" i="15"/>
  <c r="B51" i="15"/>
  <c r="B55" i="15"/>
  <c r="B49" i="15"/>
  <c r="B50" i="15"/>
  <c r="B53" i="15"/>
  <c r="B47" i="15"/>
  <c r="I3" i="16"/>
  <c r="J3" i="16" l="1"/>
  <c r="D31" i="15" l="1"/>
  <c r="L8" i="14"/>
  <c r="L9" i="14"/>
  <c r="L10" i="14"/>
  <c r="M10" i="14" s="1"/>
  <c r="L11" i="14"/>
  <c r="K8" i="14"/>
  <c r="K9" i="14"/>
  <c r="K10" i="14"/>
  <c r="K11" i="14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1" i="11"/>
  <c r="K52" i="11"/>
  <c r="K53" i="11"/>
  <c r="K54" i="11"/>
  <c r="K55" i="11"/>
  <c r="K56" i="11"/>
  <c r="K58" i="11"/>
  <c r="K59" i="11"/>
  <c r="K60" i="11"/>
  <c r="K61" i="11"/>
  <c r="K62" i="11"/>
  <c r="K63" i="11"/>
  <c r="K65" i="11"/>
  <c r="K66" i="11"/>
  <c r="K67" i="11"/>
  <c r="K68" i="11"/>
  <c r="K69" i="11"/>
  <c r="K70" i="11"/>
  <c r="K71" i="11"/>
  <c r="L71" i="11" s="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3" i="11"/>
  <c r="J54" i="11"/>
  <c r="J55" i="11"/>
  <c r="J56" i="11"/>
  <c r="J58" i="11"/>
  <c r="J59" i="11"/>
  <c r="J60" i="11"/>
  <c r="J61" i="11"/>
  <c r="J62" i="11"/>
  <c r="J63" i="11"/>
  <c r="J65" i="11"/>
  <c r="J66" i="11"/>
  <c r="J67" i="11"/>
  <c r="J68" i="11"/>
  <c r="J69" i="11"/>
  <c r="J70" i="11"/>
  <c r="J71" i="11"/>
  <c r="M10" i="12"/>
  <c r="L9" i="12"/>
  <c r="K13" i="7"/>
  <c r="J10" i="7"/>
  <c r="M9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5" i="12"/>
  <c r="M46" i="12"/>
  <c r="N46" i="12" s="1"/>
  <c r="M47" i="12"/>
  <c r="M48" i="12"/>
  <c r="M49" i="12"/>
  <c r="M50" i="12"/>
  <c r="M51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5" i="12"/>
  <c r="L46" i="12"/>
  <c r="L47" i="12"/>
  <c r="L48" i="12"/>
  <c r="L49" i="12"/>
  <c r="L50" i="12"/>
  <c r="L51" i="12"/>
  <c r="K9" i="8"/>
  <c r="K10" i="8"/>
  <c r="K11" i="8"/>
  <c r="K12" i="8"/>
  <c r="K13" i="8"/>
  <c r="K14" i="8"/>
  <c r="K16" i="8"/>
  <c r="K17" i="8"/>
  <c r="K18" i="8"/>
  <c r="K19" i="8"/>
  <c r="K20" i="8"/>
  <c r="K21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7" i="8"/>
  <c r="K38" i="8"/>
  <c r="K39" i="8"/>
  <c r="K40" i="8"/>
  <c r="K41" i="8"/>
  <c r="K42" i="8"/>
  <c r="K43" i="8"/>
  <c r="K44" i="8"/>
  <c r="K45" i="8"/>
  <c r="K46" i="8"/>
  <c r="K47" i="8"/>
  <c r="K49" i="8"/>
  <c r="K50" i="8"/>
  <c r="K51" i="8"/>
  <c r="K53" i="8"/>
  <c r="K54" i="8"/>
  <c r="K55" i="8"/>
  <c r="K56" i="8"/>
  <c r="K57" i="8"/>
  <c r="K58" i="8"/>
  <c r="K59" i="8"/>
  <c r="K60" i="8"/>
  <c r="K61" i="8"/>
  <c r="K62" i="8"/>
  <c r="K63" i="8"/>
  <c r="K64" i="8"/>
  <c r="K66" i="8"/>
  <c r="K67" i="8"/>
  <c r="K68" i="8"/>
  <c r="K69" i="8"/>
  <c r="K70" i="8"/>
  <c r="K71" i="8"/>
  <c r="K72" i="8"/>
  <c r="K73" i="8"/>
  <c r="K74" i="8"/>
  <c r="K75" i="8"/>
  <c r="K77" i="8"/>
  <c r="K78" i="8"/>
  <c r="K79" i="8"/>
  <c r="K80" i="8"/>
  <c r="K81" i="8"/>
  <c r="K82" i="8"/>
  <c r="K83" i="8"/>
  <c r="K84" i="8"/>
  <c r="K85" i="8"/>
  <c r="K86" i="8"/>
  <c r="K88" i="8"/>
  <c r="K89" i="8"/>
  <c r="K90" i="8"/>
  <c r="K91" i="8"/>
  <c r="K92" i="8"/>
  <c r="K94" i="8"/>
  <c r="K95" i="8"/>
  <c r="K96" i="8"/>
  <c r="K97" i="8"/>
  <c r="K98" i="8"/>
  <c r="K99" i="8"/>
  <c r="K100" i="8"/>
  <c r="K101" i="8"/>
  <c r="K102" i="8"/>
  <c r="K103" i="8"/>
  <c r="K105" i="8"/>
  <c r="K106" i="8"/>
  <c r="K107" i="8"/>
  <c r="K108" i="8"/>
  <c r="K109" i="8"/>
  <c r="K110" i="8"/>
  <c r="K111" i="8"/>
  <c r="K112" i="8"/>
  <c r="K113" i="8"/>
  <c r="K114" i="8"/>
  <c r="K116" i="8"/>
  <c r="K117" i="8"/>
  <c r="K118" i="8"/>
  <c r="K119" i="8"/>
  <c r="K120" i="8"/>
  <c r="K121" i="8"/>
  <c r="K122" i="8"/>
  <c r="K123" i="8"/>
  <c r="K124" i="8"/>
  <c r="K125" i="8"/>
  <c r="K127" i="8"/>
  <c r="K128" i="8"/>
  <c r="K129" i="8"/>
  <c r="K130" i="8"/>
  <c r="K131" i="8"/>
  <c r="K132" i="8"/>
  <c r="K133" i="8"/>
  <c r="K134" i="8"/>
  <c r="K135" i="8"/>
  <c r="K136" i="8"/>
  <c r="K138" i="8"/>
  <c r="K139" i="8"/>
  <c r="K140" i="8"/>
  <c r="K141" i="8"/>
  <c r="K142" i="8"/>
  <c r="K143" i="8"/>
  <c r="K144" i="8"/>
  <c r="K145" i="8"/>
  <c r="K146" i="8"/>
  <c r="K147" i="8"/>
  <c r="J9" i="8"/>
  <c r="J10" i="8"/>
  <c r="J11" i="8"/>
  <c r="J12" i="8"/>
  <c r="J13" i="8"/>
  <c r="J14" i="8"/>
  <c r="J16" i="8"/>
  <c r="J17" i="8"/>
  <c r="J18" i="8"/>
  <c r="J19" i="8"/>
  <c r="J20" i="8"/>
  <c r="J21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7" i="8"/>
  <c r="J38" i="8"/>
  <c r="J39" i="8"/>
  <c r="J40" i="8"/>
  <c r="J41" i="8"/>
  <c r="J42" i="8"/>
  <c r="J43" i="8"/>
  <c r="J44" i="8"/>
  <c r="J45" i="8"/>
  <c r="J46" i="8"/>
  <c r="J47" i="8"/>
  <c r="J49" i="8"/>
  <c r="J50" i="8"/>
  <c r="J51" i="8"/>
  <c r="J53" i="8"/>
  <c r="J54" i="8"/>
  <c r="J55" i="8"/>
  <c r="J56" i="8"/>
  <c r="J57" i="8"/>
  <c r="J58" i="8"/>
  <c r="J59" i="8"/>
  <c r="J60" i="8"/>
  <c r="J61" i="8"/>
  <c r="J62" i="8"/>
  <c r="J63" i="8"/>
  <c r="J64" i="8"/>
  <c r="J66" i="8"/>
  <c r="J67" i="8"/>
  <c r="J68" i="8"/>
  <c r="J69" i="8"/>
  <c r="J70" i="8"/>
  <c r="J71" i="8"/>
  <c r="J72" i="8"/>
  <c r="J73" i="8"/>
  <c r="J74" i="8"/>
  <c r="J75" i="8"/>
  <c r="J77" i="8"/>
  <c r="J78" i="8"/>
  <c r="J79" i="8"/>
  <c r="J80" i="8"/>
  <c r="J81" i="8"/>
  <c r="J82" i="8"/>
  <c r="J83" i="8"/>
  <c r="J84" i="8"/>
  <c r="J85" i="8"/>
  <c r="J86" i="8"/>
  <c r="J88" i="8"/>
  <c r="J89" i="8"/>
  <c r="J90" i="8"/>
  <c r="J91" i="8"/>
  <c r="J92" i="8"/>
  <c r="J94" i="8"/>
  <c r="J95" i="8"/>
  <c r="J96" i="8"/>
  <c r="J97" i="8"/>
  <c r="J98" i="8"/>
  <c r="J99" i="8"/>
  <c r="J100" i="8"/>
  <c r="J101" i="8"/>
  <c r="J102" i="8"/>
  <c r="J103" i="8"/>
  <c r="J105" i="8"/>
  <c r="J106" i="8"/>
  <c r="J107" i="8"/>
  <c r="J108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3" i="8"/>
  <c r="J124" i="8"/>
  <c r="J125" i="8"/>
  <c r="J127" i="8"/>
  <c r="J128" i="8"/>
  <c r="J129" i="8"/>
  <c r="J130" i="8"/>
  <c r="J131" i="8"/>
  <c r="J132" i="8"/>
  <c r="J133" i="8"/>
  <c r="J134" i="8"/>
  <c r="J135" i="8"/>
  <c r="J136" i="8"/>
  <c r="J138" i="8"/>
  <c r="J139" i="8"/>
  <c r="J140" i="8"/>
  <c r="J141" i="8"/>
  <c r="J142" i="8"/>
  <c r="J143" i="8"/>
  <c r="J144" i="8"/>
  <c r="J145" i="8"/>
  <c r="J146" i="8"/>
  <c r="J147" i="8"/>
  <c r="J11" i="7"/>
  <c r="J12" i="7"/>
  <c r="J13" i="7"/>
  <c r="J14" i="7"/>
  <c r="J15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K10" i="7"/>
  <c r="K11" i="7"/>
  <c r="K12" i="7"/>
  <c r="K14" i="7"/>
  <c r="K15" i="7"/>
  <c r="K16" i="7"/>
  <c r="K17" i="7"/>
  <c r="K18" i="7"/>
  <c r="K19" i="7"/>
  <c r="K20" i="7"/>
  <c r="K22" i="7"/>
  <c r="K23" i="7"/>
  <c r="K24" i="7"/>
  <c r="K25" i="7"/>
  <c r="K26" i="7"/>
  <c r="K27" i="7"/>
  <c r="K28" i="7"/>
  <c r="K29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AC4" i="14"/>
  <c r="S48" i="15" s="1"/>
  <c r="S47" i="15"/>
  <c r="AB4" i="11"/>
  <c r="AC6" i="13"/>
  <c r="R47" i="15"/>
  <c r="AB6" i="11"/>
  <c r="AA6" i="11"/>
  <c r="S45" i="15"/>
  <c r="R44" i="15"/>
  <c r="S43" i="15"/>
  <c r="O86" i="8"/>
  <c r="N86" i="8" s="1"/>
  <c r="O77" i="8"/>
  <c r="N77" i="8" s="1"/>
  <c r="O78" i="8"/>
  <c r="N78" i="8" s="1"/>
  <c r="O79" i="8"/>
  <c r="N79" i="8" s="1"/>
  <c r="O80" i="8"/>
  <c r="N80" i="8" s="1"/>
  <c r="O81" i="8"/>
  <c r="N81" i="8" s="1"/>
  <c r="O82" i="8"/>
  <c r="N82" i="8" s="1"/>
  <c r="O83" i="8"/>
  <c r="N83" i="8" s="1"/>
  <c r="O84" i="8"/>
  <c r="N84" i="8" s="1"/>
  <c r="O85" i="8"/>
  <c r="N85" i="8" s="1"/>
  <c r="O44" i="8"/>
  <c r="N44" i="8" s="1"/>
  <c r="O45" i="8"/>
  <c r="N45" i="8" s="1"/>
  <c r="O46" i="8"/>
  <c r="N46" i="8" s="1"/>
  <c r="O47" i="8"/>
  <c r="N47" i="8" s="1"/>
  <c r="O37" i="8"/>
  <c r="N37" i="8" s="1"/>
  <c r="O38" i="8"/>
  <c r="N38" i="8" s="1"/>
  <c r="O39" i="8"/>
  <c r="N39" i="8" s="1"/>
  <c r="O40" i="8"/>
  <c r="N40" i="8" s="1"/>
  <c r="O41" i="8"/>
  <c r="N41" i="8" s="1"/>
  <c r="O42" i="8"/>
  <c r="N42" i="8" s="1"/>
  <c r="O43" i="8"/>
  <c r="N43" i="8" s="1"/>
  <c r="O9" i="8"/>
  <c r="N9" i="8" s="1"/>
  <c r="O10" i="8"/>
  <c r="N10" i="8" s="1"/>
  <c r="O11" i="8"/>
  <c r="N11" i="8" s="1"/>
  <c r="O12" i="8"/>
  <c r="N12" i="8" s="1"/>
  <c r="O13" i="8"/>
  <c r="N13" i="8" s="1"/>
  <c r="O14" i="8"/>
  <c r="N14" i="8" s="1"/>
  <c r="R43" i="15"/>
  <c r="Q43" i="15"/>
  <c r="P43" i="15"/>
  <c r="O43" i="15"/>
  <c r="N43" i="15"/>
  <c r="M43" i="15"/>
  <c r="L43" i="15"/>
  <c r="K43" i="15"/>
  <c r="J43" i="15"/>
  <c r="AC4" i="8"/>
  <c r="S44" i="15" s="1"/>
  <c r="Q44" i="15"/>
  <c r="P44" i="15"/>
  <c r="O44" i="15"/>
  <c r="N44" i="15"/>
  <c r="M44" i="15"/>
  <c r="L44" i="15"/>
  <c r="K44" i="15"/>
  <c r="J44" i="15"/>
  <c r="I44" i="15"/>
  <c r="Q45" i="15"/>
  <c r="P45" i="15"/>
  <c r="O45" i="15"/>
  <c r="N45" i="15"/>
  <c r="M45" i="15"/>
  <c r="L45" i="15"/>
  <c r="K45" i="15"/>
  <c r="J45" i="15"/>
  <c r="I45" i="15"/>
  <c r="J47" i="15"/>
  <c r="Q47" i="15"/>
  <c r="P47" i="15"/>
  <c r="O47" i="15"/>
  <c r="N47" i="15"/>
  <c r="M47" i="15"/>
  <c r="L47" i="15"/>
  <c r="K47" i="15"/>
  <c r="I47" i="15"/>
  <c r="AB4" i="14"/>
  <c r="R48" i="15" s="1"/>
  <c r="AA4" i="14"/>
  <c r="Q48" i="15" s="1"/>
  <c r="Z4" i="14"/>
  <c r="P48" i="15" s="1"/>
  <c r="Y4" i="14"/>
  <c r="O48" i="15" s="1"/>
  <c r="X4" i="14"/>
  <c r="N48" i="15" s="1"/>
  <c r="W4" i="14"/>
  <c r="M48" i="15" s="1"/>
  <c r="V4" i="14"/>
  <c r="L48" i="15" s="1"/>
  <c r="U4" i="14"/>
  <c r="K48" i="15" s="1"/>
  <c r="T4" i="14"/>
  <c r="J48" i="15" s="1"/>
  <c r="S4" i="14"/>
  <c r="I48" i="15" s="1"/>
  <c r="Y4" i="11"/>
  <c r="X4" i="11"/>
  <c r="W4" i="11"/>
  <c r="V4" i="11"/>
  <c r="U4" i="11"/>
  <c r="T4" i="11"/>
  <c r="S4" i="11"/>
  <c r="O10" i="7"/>
  <c r="N10" i="7" s="1"/>
  <c r="O36" i="7"/>
  <c r="N36" i="7" s="1"/>
  <c r="O51" i="7"/>
  <c r="N51" i="7" s="1"/>
  <c r="O66" i="8"/>
  <c r="N66" i="8" s="1"/>
  <c r="O67" i="8"/>
  <c r="N67" i="8" s="1"/>
  <c r="O68" i="8"/>
  <c r="N68" i="8" s="1"/>
  <c r="O69" i="8"/>
  <c r="N69" i="8" s="1"/>
  <c r="O70" i="8"/>
  <c r="N70" i="8" s="1"/>
  <c r="O71" i="8"/>
  <c r="N71" i="8" s="1"/>
  <c r="O72" i="8"/>
  <c r="N72" i="8" s="1"/>
  <c r="O73" i="8"/>
  <c r="N73" i="8" s="1"/>
  <c r="O74" i="8"/>
  <c r="N74" i="8" s="1"/>
  <c r="O75" i="8"/>
  <c r="N75" i="8" s="1"/>
  <c r="O88" i="8"/>
  <c r="N88" i="8" s="1"/>
  <c r="O89" i="8"/>
  <c r="N89" i="8" s="1"/>
  <c r="O90" i="8"/>
  <c r="N90" i="8" s="1"/>
  <c r="O91" i="8"/>
  <c r="N91" i="8" s="1"/>
  <c r="O92" i="8"/>
  <c r="N92" i="8" s="1"/>
  <c r="M9" i="14"/>
  <c r="Q43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7" i="12"/>
  <c r="Q16" i="12"/>
  <c r="Q15" i="12"/>
  <c r="Q14" i="12"/>
  <c r="Q13" i="12"/>
  <c r="Q12" i="12"/>
  <c r="Q11" i="12"/>
  <c r="Q10" i="12"/>
  <c r="Q9" i="12"/>
  <c r="O70" i="11"/>
  <c r="N70" i="11" s="1"/>
  <c r="O69" i="11"/>
  <c r="N69" i="11" s="1"/>
  <c r="O68" i="11"/>
  <c r="N68" i="11" s="1"/>
  <c r="O67" i="11"/>
  <c r="N67" i="11" s="1"/>
  <c r="O66" i="11"/>
  <c r="N66" i="11" s="1"/>
  <c r="O65" i="11"/>
  <c r="N65" i="11" s="1"/>
  <c r="O63" i="11"/>
  <c r="N63" i="11" s="1"/>
  <c r="O62" i="11"/>
  <c r="N62" i="11" s="1"/>
  <c r="O61" i="11"/>
  <c r="N61" i="11" s="1"/>
  <c r="O60" i="11"/>
  <c r="N60" i="11" s="1"/>
  <c r="O59" i="11"/>
  <c r="N59" i="11" s="1"/>
  <c r="O58" i="11"/>
  <c r="N58" i="11" s="1"/>
  <c r="O56" i="11"/>
  <c r="N56" i="11" s="1"/>
  <c r="O55" i="11"/>
  <c r="N55" i="11" s="1"/>
  <c r="O54" i="11"/>
  <c r="N54" i="11" s="1"/>
  <c r="O53" i="11"/>
  <c r="N53" i="11" s="1"/>
  <c r="O52" i="11"/>
  <c r="N52" i="11" s="1"/>
  <c r="O51" i="11"/>
  <c r="N51" i="11" s="1"/>
  <c r="O49" i="11"/>
  <c r="N49" i="11" s="1"/>
  <c r="O48" i="11"/>
  <c r="N48" i="11" s="1"/>
  <c r="O47" i="11"/>
  <c r="N47" i="11" s="1"/>
  <c r="O46" i="11"/>
  <c r="N46" i="11" s="1"/>
  <c r="O45" i="11"/>
  <c r="N45" i="11" s="1"/>
  <c r="O44" i="11"/>
  <c r="N44" i="11" s="1"/>
  <c r="O43" i="11"/>
  <c r="N43" i="11" s="1"/>
  <c r="O42" i="11"/>
  <c r="N42" i="11" s="1"/>
  <c r="O41" i="11"/>
  <c r="N41" i="11" s="1"/>
  <c r="O40" i="11"/>
  <c r="N40" i="11" s="1"/>
  <c r="O39" i="11"/>
  <c r="N39" i="11" s="1"/>
  <c r="O38" i="11"/>
  <c r="N38" i="11" s="1"/>
  <c r="O37" i="11"/>
  <c r="N37" i="11" s="1"/>
  <c r="O36" i="11"/>
  <c r="N36" i="11" s="1"/>
  <c r="O35" i="11"/>
  <c r="N35" i="11" s="1"/>
  <c r="O34" i="11"/>
  <c r="N34" i="11" s="1"/>
  <c r="O33" i="11"/>
  <c r="N33" i="11" s="1"/>
  <c r="O32" i="11"/>
  <c r="N32" i="11" s="1"/>
  <c r="O31" i="11"/>
  <c r="N31" i="11" s="1"/>
  <c r="O30" i="11"/>
  <c r="N30" i="11" s="1"/>
  <c r="O29" i="11"/>
  <c r="N29" i="11" s="1"/>
  <c r="O27" i="11"/>
  <c r="N27" i="11" s="1"/>
  <c r="O26" i="11"/>
  <c r="N26" i="11" s="1"/>
  <c r="O25" i="11"/>
  <c r="N25" i="11" s="1"/>
  <c r="O24" i="11"/>
  <c r="N24" i="11" s="1"/>
  <c r="O23" i="11"/>
  <c r="N23" i="11" s="1"/>
  <c r="O22" i="11"/>
  <c r="N22" i="11" s="1"/>
  <c r="O21" i="11"/>
  <c r="N21" i="11" s="1"/>
  <c r="O20" i="11"/>
  <c r="N20" i="11" s="1"/>
  <c r="O19" i="11"/>
  <c r="N19" i="11" s="1"/>
  <c r="O18" i="11"/>
  <c r="N18" i="11" s="1"/>
  <c r="O17" i="11"/>
  <c r="N17" i="11" s="1"/>
  <c r="O16" i="11"/>
  <c r="N16" i="11" s="1"/>
  <c r="O15" i="11"/>
  <c r="N15" i="11" s="1"/>
  <c r="O14" i="11"/>
  <c r="N14" i="11" s="1"/>
  <c r="O13" i="11"/>
  <c r="N13" i="11" s="1"/>
  <c r="O12" i="11"/>
  <c r="N12" i="11" s="1"/>
  <c r="O11" i="11"/>
  <c r="N11" i="11" s="1"/>
  <c r="O10" i="11"/>
  <c r="N10" i="11" s="1"/>
  <c r="O9" i="11"/>
  <c r="N9" i="11" s="1"/>
  <c r="O147" i="8"/>
  <c r="N147" i="8" s="1"/>
  <c r="O146" i="8"/>
  <c r="N146" i="8" s="1"/>
  <c r="O145" i="8"/>
  <c r="N145" i="8" s="1"/>
  <c r="O144" i="8"/>
  <c r="N144" i="8" s="1"/>
  <c r="O143" i="8"/>
  <c r="N143" i="8" s="1"/>
  <c r="O142" i="8"/>
  <c r="N142" i="8" s="1"/>
  <c r="O141" i="8"/>
  <c r="N141" i="8" s="1"/>
  <c r="O140" i="8"/>
  <c r="N140" i="8" s="1"/>
  <c r="O139" i="8"/>
  <c r="N139" i="8" s="1"/>
  <c r="O138" i="8"/>
  <c r="N138" i="8" s="1"/>
  <c r="O136" i="8"/>
  <c r="N136" i="8" s="1"/>
  <c r="O135" i="8"/>
  <c r="N135" i="8" s="1"/>
  <c r="O134" i="8"/>
  <c r="N134" i="8" s="1"/>
  <c r="O133" i="8"/>
  <c r="N133" i="8" s="1"/>
  <c r="O132" i="8"/>
  <c r="N132" i="8" s="1"/>
  <c r="O131" i="8"/>
  <c r="N131" i="8" s="1"/>
  <c r="O130" i="8"/>
  <c r="N130" i="8" s="1"/>
  <c r="O129" i="8"/>
  <c r="N129" i="8" s="1"/>
  <c r="O128" i="8"/>
  <c r="N128" i="8" s="1"/>
  <c r="O127" i="8"/>
  <c r="N127" i="8" s="1"/>
  <c r="O125" i="8"/>
  <c r="N125" i="8" s="1"/>
  <c r="O124" i="8"/>
  <c r="N124" i="8" s="1"/>
  <c r="O123" i="8"/>
  <c r="N123" i="8" s="1"/>
  <c r="O122" i="8"/>
  <c r="N122" i="8" s="1"/>
  <c r="O121" i="8"/>
  <c r="N121" i="8" s="1"/>
  <c r="O120" i="8"/>
  <c r="N120" i="8" s="1"/>
  <c r="O119" i="8"/>
  <c r="N119" i="8" s="1"/>
  <c r="O118" i="8"/>
  <c r="N118" i="8" s="1"/>
  <c r="O117" i="8"/>
  <c r="N117" i="8" s="1"/>
  <c r="O116" i="8"/>
  <c r="N116" i="8" s="1"/>
  <c r="O114" i="8"/>
  <c r="N114" i="8" s="1"/>
  <c r="O113" i="8"/>
  <c r="N113" i="8" s="1"/>
  <c r="O112" i="8"/>
  <c r="N112" i="8" s="1"/>
  <c r="O111" i="8"/>
  <c r="N111" i="8" s="1"/>
  <c r="O110" i="8"/>
  <c r="N110" i="8" s="1"/>
  <c r="O109" i="8"/>
  <c r="N109" i="8" s="1"/>
  <c r="O108" i="8"/>
  <c r="N108" i="8" s="1"/>
  <c r="O107" i="8"/>
  <c r="N107" i="8" s="1"/>
  <c r="O106" i="8"/>
  <c r="N106" i="8" s="1"/>
  <c r="O105" i="8"/>
  <c r="N105" i="8" s="1"/>
  <c r="O51" i="8"/>
  <c r="N51" i="8" s="1"/>
  <c r="O50" i="8"/>
  <c r="N50" i="8" s="1"/>
  <c r="O49" i="8"/>
  <c r="N49" i="8" s="1"/>
  <c r="O103" i="8"/>
  <c r="N103" i="8" s="1"/>
  <c r="O102" i="8"/>
  <c r="N102" i="8" s="1"/>
  <c r="O101" i="8"/>
  <c r="N101" i="8" s="1"/>
  <c r="O100" i="8"/>
  <c r="N100" i="8" s="1"/>
  <c r="O99" i="8"/>
  <c r="N99" i="8" s="1"/>
  <c r="O98" i="8"/>
  <c r="N98" i="8" s="1"/>
  <c r="O97" i="8"/>
  <c r="N97" i="8" s="1"/>
  <c r="O96" i="8"/>
  <c r="N96" i="8" s="1"/>
  <c r="O95" i="8"/>
  <c r="N95" i="8" s="1"/>
  <c r="O94" i="8"/>
  <c r="N94" i="8" s="1"/>
  <c r="O64" i="8"/>
  <c r="N64" i="8" s="1"/>
  <c r="O63" i="8"/>
  <c r="N63" i="8" s="1"/>
  <c r="O62" i="8"/>
  <c r="N62" i="8" s="1"/>
  <c r="O61" i="8"/>
  <c r="N61" i="8" s="1"/>
  <c r="O60" i="8"/>
  <c r="N60" i="8" s="1"/>
  <c r="O59" i="8"/>
  <c r="N59" i="8" s="1"/>
  <c r="O58" i="8"/>
  <c r="N58" i="8" s="1"/>
  <c r="O57" i="8"/>
  <c r="N57" i="8" s="1"/>
  <c r="O56" i="8"/>
  <c r="N56" i="8" s="1"/>
  <c r="O55" i="8"/>
  <c r="N55" i="8" s="1"/>
  <c r="O54" i="8"/>
  <c r="N54" i="8" s="1"/>
  <c r="O53" i="8"/>
  <c r="N53" i="8" s="1"/>
  <c r="O35" i="8"/>
  <c r="N35" i="8" s="1"/>
  <c r="O34" i="8"/>
  <c r="N34" i="8" s="1"/>
  <c r="O33" i="8"/>
  <c r="N33" i="8" s="1"/>
  <c r="O32" i="8"/>
  <c r="N32" i="8" s="1"/>
  <c r="O31" i="8"/>
  <c r="N31" i="8" s="1"/>
  <c r="O30" i="8"/>
  <c r="N30" i="8" s="1"/>
  <c r="O29" i="8"/>
  <c r="N29" i="8" s="1"/>
  <c r="O28" i="8"/>
  <c r="N28" i="8" s="1"/>
  <c r="O27" i="8"/>
  <c r="N27" i="8" s="1"/>
  <c r="O26" i="8"/>
  <c r="N26" i="8" s="1"/>
  <c r="O25" i="8"/>
  <c r="N25" i="8" s="1"/>
  <c r="O24" i="8"/>
  <c r="N24" i="8" s="1"/>
  <c r="O23" i="8"/>
  <c r="N23" i="8" s="1"/>
  <c r="O21" i="8"/>
  <c r="N21" i="8" s="1"/>
  <c r="O20" i="8"/>
  <c r="N20" i="8" s="1"/>
  <c r="O19" i="8"/>
  <c r="N19" i="8" s="1"/>
  <c r="O18" i="8"/>
  <c r="N18" i="8" s="1"/>
  <c r="O17" i="8"/>
  <c r="N17" i="8" s="1"/>
  <c r="O16" i="8"/>
  <c r="N16" i="8" s="1"/>
  <c r="O92" i="7"/>
  <c r="N92" i="7" s="1"/>
  <c r="O91" i="7"/>
  <c r="N91" i="7" s="1"/>
  <c r="O90" i="7"/>
  <c r="N90" i="7" s="1"/>
  <c r="O89" i="7"/>
  <c r="N89" i="7" s="1"/>
  <c r="O88" i="7"/>
  <c r="N88" i="7" s="1"/>
  <c r="O87" i="7"/>
  <c r="N87" i="7" s="1"/>
  <c r="O86" i="7"/>
  <c r="N86" i="7" s="1"/>
  <c r="O85" i="7"/>
  <c r="N85" i="7" s="1"/>
  <c r="O84" i="7"/>
  <c r="N84" i="7" s="1"/>
  <c r="O83" i="7"/>
  <c r="N83" i="7" s="1"/>
  <c r="O82" i="7"/>
  <c r="N82" i="7" s="1"/>
  <c r="O81" i="7"/>
  <c r="N81" i="7" s="1"/>
  <c r="O80" i="7"/>
  <c r="N80" i="7" s="1"/>
  <c r="O79" i="7"/>
  <c r="N79" i="7" s="1"/>
  <c r="O78" i="7"/>
  <c r="N78" i="7" s="1"/>
  <c r="O77" i="7"/>
  <c r="N77" i="7" s="1"/>
  <c r="O76" i="7"/>
  <c r="N76" i="7" s="1"/>
  <c r="O75" i="7"/>
  <c r="N75" i="7" s="1"/>
  <c r="O74" i="7"/>
  <c r="N74" i="7" s="1"/>
  <c r="O73" i="7"/>
  <c r="N73" i="7" s="1"/>
  <c r="O72" i="7"/>
  <c r="N72" i="7" s="1"/>
  <c r="O71" i="7"/>
  <c r="N71" i="7" s="1"/>
  <c r="O70" i="7"/>
  <c r="N70" i="7" s="1"/>
  <c r="O69" i="7"/>
  <c r="N69" i="7" s="1"/>
  <c r="O67" i="7"/>
  <c r="N67" i="7" s="1"/>
  <c r="O66" i="7"/>
  <c r="N66" i="7" s="1"/>
  <c r="O65" i="7"/>
  <c r="N65" i="7" s="1"/>
  <c r="O64" i="7"/>
  <c r="N64" i="7" s="1"/>
  <c r="O63" i="7"/>
  <c r="N63" i="7" s="1"/>
  <c r="O62" i="7"/>
  <c r="N62" i="7" s="1"/>
  <c r="O61" i="7"/>
  <c r="N61" i="7" s="1"/>
  <c r="O60" i="7"/>
  <c r="N60" i="7" s="1"/>
  <c r="O59" i="7"/>
  <c r="N59" i="7" s="1"/>
  <c r="O58" i="7"/>
  <c r="N58" i="7" s="1"/>
  <c r="O57" i="7"/>
  <c r="N57" i="7" s="1"/>
  <c r="O56" i="7"/>
  <c r="N56" i="7" s="1"/>
  <c r="O55" i="7"/>
  <c r="N55" i="7" s="1"/>
  <c r="O54" i="7"/>
  <c r="N54" i="7" s="1"/>
  <c r="O53" i="7"/>
  <c r="N53" i="7" s="1"/>
  <c r="O52" i="7"/>
  <c r="N52" i="7" s="1"/>
  <c r="O50" i="7"/>
  <c r="N50" i="7" s="1"/>
  <c r="O49" i="7"/>
  <c r="N49" i="7" s="1"/>
  <c r="O48" i="7"/>
  <c r="N48" i="7" s="1"/>
  <c r="O46" i="7"/>
  <c r="N46" i="7" s="1"/>
  <c r="O45" i="7"/>
  <c r="N45" i="7" s="1"/>
  <c r="O44" i="7"/>
  <c r="N44" i="7" s="1"/>
  <c r="O43" i="7"/>
  <c r="N43" i="7" s="1"/>
  <c r="O42" i="7"/>
  <c r="N42" i="7" s="1"/>
  <c r="O41" i="7"/>
  <c r="N41" i="7" s="1"/>
  <c r="O40" i="7"/>
  <c r="N40" i="7" s="1"/>
  <c r="O39" i="7"/>
  <c r="N39" i="7" s="1"/>
  <c r="O38" i="7"/>
  <c r="N38" i="7" s="1"/>
  <c r="O37" i="7"/>
  <c r="N37" i="7" s="1"/>
  <c r="O35" i="7"/>
  <c r="N35" i="7" s="1"/>
  <c r="O34" i="7"/>
  <c r="N34" i="7" s="1"/>
  <c r="O33" i="7"/>
  <c r="N33" i="7" s="1"/>
  <c r="O32" i="7"/>
  <c r="N32" i="7" s="1"/>
  <c r="O31" i="7"/>
  <c r="N31" i="7" s="1"/>
  <c r="O29" i="7"/>
  <c r="N29" i="7" s="1"/>
  <c r="O28" i="7"/>
  <c r="N28" i="7" s="1"/>
  <c r="O27" i="7"/>
  <c r="N27" i="7" s="1"/>
  <c r="O26" i="7"/>
  <c r="N26" i="7" s="1"/>
  <c r="O25" i="7"/>
  <c r="N25" i="7" s="1"/>
  <c r="O24" i="7"/>
  <c r="N24" i="7" s="1"/>
  <c r="O23" i="7"/>
  <c r="N23" i="7" s="1"/>
  <c r="O22" i="7"/>
  <c r="N22" i="7" s="1"/>
  <c r="O20" i="7"/>
  <c r="N20" i="7" s="1"/>
  <c r="O19" i="7"/>
  <c r="N19" i="7" s="1"/>
  <c r="O18" i="7"/>
  <c r="N18" i="7" s="1"/>
  <c r="O17" i="7"/>
  <c r="N17" i="7" s="1"/>
  <c r="O16" i="7"/>
  <c r="N16" i="7" s="1"/>
  <c r="O15" i="7"/>
  <c r="N15" i="7" s="1"/>
  <c r="O14" i="7"/>
  <c r="N14" i="7" s="1"/>
  <c r="O13" i="7"/>
  <c r="N13" i="7" s="1"/>
  <c r="O12" i="7"/>
  <c r="N12" i="7" s="1"/>
  <c r="O11" i="7"/>
  <c r="N11" i="7" s="1"/>
  <c r="O9" i="7"/>
  <c r="N9" i="7" s="1"/>
  <c r="H8" i="6"/>
  <c r="H9" i="6"/>
  <c r="H10" i="6"/>
  <c r="H11" i="6"/>
  <c r="H12" i="6"/>
  <c r="H13" i="6"/>
  <c r="H14" i="6"/>
  <c r="H15" i="6"/>
  <c r="H16" i="6"/>
  <c r="H7" i="6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7" i="3"/>
  <c r="C4" i="6"/>
  <c r="P38" i="8" l="1"/>
  <c r="P83" i="8"/>
  <c r="P37" i="8"/>
  <c r="P82" i="8"/>
  <c r="P42" i="8"/>
  <c r="P45" i="8"/>
  <c r="P79" i="8"/>
  <c r="P47" i="8"/>
  <c r="P43" i="8"/>
  <c r="P41" i="8"/>
  <c r="P44" i="8"/>
  <c r="P78" i="8"/>
  <c r="P46" i="8"/>
  <c r="P40" i="8"/>
  <c r="P85" i="8"/>
  <c r="P77" i="8"/>
  <c r="P81" i="8"/>
  <c r="P80" i="8"/>
  <c r="P39" i="8"/>
  <c r="P84" i="8"/>
  <c r="P86" i="8"/>
  <c r="P88" i="8"/>
  <c r="P68" i="8"/>
  <c r="L24" i="8"/>
  <c r="L32" i="8"/>
  <c r="L17" i="8"/>
  <c r="L26" i="8"/>
  <c r="L34" i="8"/>
  <c r="P71" i="8"/>
  <c r="P14" i="8"/>
  <c r="L133" i="8"/>
  <c r="L13" i="11"/>
  <c r="L21" i="11"/>
  <c r="L30" i="11"/>
  <c r="L38" i="11"/>
  <c r="L46" i="11"/>
  <c r="N25" i="12"/>
  <c r="L53" i="8"/>
  <c r="N33" i="12"/>
  <c r="L124" i="8"/>
  <c r="L61" i="8"/>
  <c r="L17" i="7"/>
  <c r="L26" i="7"/>
  <c r="L35" i="7"/>
  <c r="H43" i="15"/>
  <c r="L97" i="8"/>
  <c r="L106" i="8"/>
  <c r="L114" i="8"/>
  <c r="L123" i="8"/>
  <c r="L132" i="8"/>
  <c r="L141" i="8"/>
  <c r="L112" i="8"/>
  <c r="L121" i="8"/>
  <c r="L130" i="8"/>
  <c r="L147" i="8"/>
  <c r="L17" i="11"/>
  <c r="L25" i="11"/>
  <c r="L34" i="11"/>
  <c r="L42" i="11"/>
  <c r="L51" i="11"/>
  <c r="L60" i="11"/>
  <c r="L10" i="11"/>
  <c r="L18" i="11"/>
  <c r="L26" i="11"/>
  <c r="L35" i="11"/>
  <c r="L43" i="11"/>
  <c r="L52" i="11"/>
  <c r="L61" i="11"/>
  <c r="L16" i="8"/>
  <c r="L25" i="8"/>
  <c r="L33" i="8"/>
  <c r="N18" i="12"/>
  <c r="N26" i="12"/>
  <c r="N34" i="12"/>
  <c r="N42" i="12"/>
  <c r="L96" i="8"/>
  <c r="L60" i="8"/>
  <c r="L105" i="8"/>
  <c r="L113" i="8"/>
  <c r="L122" i="8"/>
  <c r="L131" i="8"/>
  <c r="L140" i="8"/>
  <c r="L51" i="8"/>
  <c r="L11" i="11"/>
  <c r="L19" i="11"/>
  <c r="L27" i="11"/>
  <c r="L36" i="11"/>
  <c r="L44" i="11"/>
  <c r="L53" i="11"/>
  <c r="L62" i="11"/>
  <c r="L57" i="7"/>
  <c r="L65" i="7"/>
  <c r="L74" i="7"/>
  <c r="L82" i="7"/>
  <c r="L90" i="7"/>
  <c r="L73" i="7"/>
  <c r="L81" i="7"/>
  <c r="L89" i="7"/>
  <c r="L12" i="7"/>
  <c r="L39" i="7"/>
  <c r="L48" i="7"/>
  <c r="L31" i="7"/>
  <c r="L10" i="7"/>
  <c r="L50" i="8"/>
  <c r="L49" i="7"/>
  <c r="N9" i="12"/>
  <c r="L69" i="11"/>
  <c r="L68" i="11"/>
  <c r="L41" i="11"/>
  <c r="L24" i="11"/>
  <c r="L49" i="11"/>
  <c r="L16" i="11"/>
  <c r="L59" i="11"/>
  <c r="L33" i="11"/>
  <c r="L51" i="7"/>
  <c r="N16" i="12"/>
  <c r="N24" i="12"/>
  <c r="N32" i="12"/>
  <c r="N40" i="12"/>
  <c r="N49" i="12"/>
  <c r="N41" i="12"/>
  <c r="L30" i="8"/>
  <c r="L21" i="8"/>
  <c r="L59" i="8"/>
  <c r="L95" i="8"/>
  <c r="L103" i="8"/>
  <c r="L99" i="8"/>
  <c r="L55" i="8"/>
  <c r="L63" i="8"/>
  <c r="L100" i="8"/>
  <c r="L108" i="8"/>
  <c r="L117" i="8"/>
  <c r="L125" i="8"/>
  <c r="L134" i="8"/>
  <c r="L143" i="8"/>
  <c r="L25" i="7"/>
  <c r="L34" i="7"/>
  <c r="L43" i="7"/>
  <c r="L59" i="7"/>
  <c r="L67" i="7"/>
  <c r="L76" i="7"/>
  <c r="L84" i="7"/>
  <c r="L92" i="7"/>
  <c r="L42" i="7"/>
  <c r="L36" i="7"/>
  <c r="L52" i="7"/>
  <c r="L60" i="7"/>
  <c r="L69" i="7"/>
  <c r="L77" i="7"/>
  <c r="L85" i="7"/>
  <c r="N30" i="12"/>
  <c r="N47" i="12"/>
  <c r="N38" i="12"/>
  <c r="N14" i="12"/>
  <c r="N22" i="12"/>
  <c r="N15" i="12"/>
  <c r="N23" i="12"/>
  <c r="N31" i="12"/>
  <c r="N39" i="12"/>
  <c r="N48" i="12"/>
  <c r="N17" i="12"/>
  <c r="L70" i="11"/>
  <c r="L23" i="11"/>
  <c r="L32" i="11"/>
  <c r="L40" i="11"/>
  <c r="L48" i="11"/>
  <c r="L58" i="11"/>
  <c r="L67" i="11"/>
  <c r="L15" i="11"/>
  <c r="L14" i="11"/>
  <c r="L22" i="11"/>
  <c r="L31" i="11"/>
  <c r="L39" i="11"/>
  <c r="L47" i="11"/>
  <c r="L56" i="11"/>
  <c r="L66" i="11"/>
  <c r="N21" i="12"/>
  <c r="N29" i="12"/>
  <c r="N13" i="12"/>
  <c r="N37" i="12"/>
  <c r="L11" i="7"/>
  <c r="L20" i="7"/>
  <c r="L23" i="8"/>
  <c r="L31" i="8"/>
  <c r="L101" i="8"/>
  <c r="L94" i="8"/>
  <c r="L102" i="8"/>
  <c r="L19" i="8"/>
  <c r="L28" i="8"/>
  <c r="L12" i="11"/>
  <c r="L37" i="11"/>
  <c r="L55" i="11"/>
  <c r="L65" i="11"/>
  <c r="L20" i="11"/>
  <c r="L54" i="11"/>
  <c r="L58" i="8"/>
  <c r="L49" i="8"/>
  <c r="L110" i="8"/>
  <c r="L119" i="8"/>
  <c r="L128" i="8"/>
  <c r="L136" i="8"/>
  <c r="L145" i="8"/>
  <c r="N11" i="12"/>
  <c r="N19" i="12"/>
  <c r="N27" i="12"/>
  <c r="N35" i="12"/>
  <c r="N43" i="12"/>
  <c r="N50" i="12"/>
  <c r="L29" i="11"/>
  <c r="L63" i="11"/>
  <c r="L44" i="7"/>
  <c r="L111" i="8"/>
  <c r="L120" i="8"/>
  <c r="L129" i="8"/>
  <c r="L146" i="8"/>
  <c r="N12" i="12"/>
  <c r="N20" i="12"/>
  <c r="N28" i="12"/>
  <c r="N36" i="12"/>
  <c r="N45" i="12"/>
  <c r="N51" i="12"/>
  <c r="L45" i="11"/>
  <c r="L18" i="7"/>
  <c r="L27" i="7"/>
  <c r="L37" i="7"/>
  <c r="L45" i="7"/>
  <c r="L57" i="8"/>
  <c r="L19" i="7"/>
  <c r="L28" i="7"/>
  <c r="L139" i="8"/>
  <c r="L138" i="8"/>
  <c r="L39" i="8"/>
  <c r="L81" i="8"/>
  <c r="L45" i="8"/>
  <c r="L37" i="8"/>
  <c r="L47" i="8"/>
  <c r="H44" i="15"/>
  <c r="P9" i="8"/>
  <c r="L84" i="8"/>
  <c r="L109" i="8"/>
  <c r="L118" i="8"/>
  <c r="L127" i="8"/>
  <c r="L135" i="8"/>
  <c r="L144" i="8"/>
  <c r="L82" i="8"/>
  <c r="L46" i="8"/>
  <c r="L38" i="8"/>
  <c r="L18" i="8"/>
  <c r="L27" i="8"/>
  <c r="L35" i="8"/>
  <c r="L80" i="8"/>
  <c r="L44" i="8"/>
  <c r="L98" i="8"/>
  <c r="L78" i="8"/>
  <c r="L43" i="8"/>
  <c r="L12" i="8"/>
  <c r="L20" i="8"/>
  <c r="L29" i="8"/>
  <c r="L54" i="8"/>
  <c r="L62" i="8"/>
  <c r="L77" i="8"/>
  <c r="L42" i="8"/>
  <c r="L10" i="8"/>
  <c r="L86" i="8"/>
  <c r="L74" i="8"/>
  <c r="L41" i="8"/>
  <c r="L56" i="8"/>
  <c r="L64" i="8"/>
  <c r="L107" i="8"/>
  <c r="L116" i="8"/>
  <c r="L142" i="8"/>
  <c r="L85" i="8"/>
  <c r="L68" i="8"/>
  <c r="L40" i="8"/>
  <c r="L83" i="8"/>
  <c r="L79" i="8"/>
  <c r="M8" i="14"/>
  <c r="M11" i="14"/>
  <c r="L91" i="7"/>
  <c r="L14" i="7"/>
  <c r="L41" i="7"/>
  <c r="L50" i="7"/>
  <c r="L58" i="7"/>
  <c r="L33" i="7"/>
  <c r="L83" i="7"/>
  <c r="L66" i="7"/>
  <c r="L75" i="7"/>
  <c r="L9" i="11"/>
  <c r="N10" i="12"/>
  <c r="L66" i="8"/>
  <c r="L13" i="8"/>
  <c r="L71" i="8"/>
  <c r="L70" i="8"/>
  <c r="L14" i="8"/>
  <c r="L69" i="8"/>
  <c r="L92" i="8"/>
  <c r="L91" i="8"/>
  <c r="L75" i="8"/>
  <c r="L67" i="8"/>
  <c r="L11" i="8"/>
  <c r="L90" i="8"/>
  <c r="L89" i="8"/>
  <c r="L73" i="8"/>
  <c r="L9" i="8"/>
  <c r="L88" i="8"/>
  <c r="L72" i="8"/>
  <c r="L56" i="7"/>
  <c r="L64" i="7"/>
  <c r="L23" i="7"/>
  <c r="L32" i="7"/>
  <c r="L15" i="7"/>
  <c r="L24" i="7"/>
  <c r="L16" i="7"/>
  <c r="L40" i="7"/>
  <c r="L71" i="7"/>
  <c r="L79" i="7"/>
  <c r="L87" i="7"/>
  <c r="L55" i="7"/>
  <c r="L63" i="7"/>
  <c r="L72" i="7"/>
  <c r="L80" i="7"/>
  <c r="L88" i="7"/>
  <c r="L22" i="7"/>
  <c r="L54" i="7"/>
  <c r="L62" i="7"/>
  <c r="L38" i="7"/>
  <c r="L53" i="7"/>
  <c r="L61" i="7"/>
  <c r="L70" i="7"/>
  <c r="L78" i="7"/>
  <c r="L86" i="7"/>
  <c r="L46" i="7"/>
  <c r="L29" i="7"/>
  <c r="L13" i="7"/>
  <c r="S49" i="15"/>
  <c r="P73" i="8"/>
  <c r="P91" i="8"/>
  <c r="P11" i="8"/>
  <c r="P10" i="8"/>
  <c r="H47" i="15"/>
  <c r="H48" i="15"/>
  <c r="H45" i="15"/>
  <c r="P49" i="15"/>
  <c r="P13" i="8"/>
  <c r="P12" i="8"/>
  <c r="L49" i="15"/>
  <c r="I49" i="15"/>
  <c r="J49" i="15"/>
  <c r="N49" i="15"/>
  <c r="R49" i="15"/>
  <c r="O49" i="15"/>
  <c r="Q49" i="15"/>
  <c r="M49" i="15"/>
  <c r="K49" i="15"/>
  <c r="P89" i="8"/>
  <c r="P69" i="8"/>
  <c r="P72" i="8"/>
  <c r="P67" i="8"/>
  <c r="P92" i="8"/>
  <c r="P75" i="8"/>
  <c r="P90" i="8"/>
  <c r="P70" i="8"/>
  <c r="P74" i="8"/>
  <c r="P66" i="8"/>
  <c r="G8" i="3"/>
  <c r="I9" i="3"/>
  <c r="G10" i="3"/>
  <c r="G11" i="3"/>
  <c r="I12" i="3"/>
  <c r="G13" i="3"/>
  <c r="G14" i="3"/>
  <c r="G15" i="3"/>
  <c r="G16" i="3"/>
  <c r="I17" i="3"/>
  <c r="I18" i="3"/>
  <c r="G19" i="3"/>
  <c r="I20" i="3"/>
  <c r="G21" i="3"/>
  <c r="G22" i="3"/>
  <c r="G23" i="3"/>
  <c r="G24" i="3"/>
  <c r="G25" i="3"/>
  <c r="G7" i="3"/>
  <c r="G8" i="6"/>
  <c r="G9" i="6"/>
  <c r="G10" i="6"/>
  <c r="G11" i="6"/>
  <c r="G12" i="6"/>
  <c r="G13" i="6"/>
  <c r="G14" i="6"/>
  <c r="G15" i="6"/>
  <c r="G16" i="6"/>
  <c r="I7" i="6"/>
  <c r="P86" i="7"/>
  <c r="P70" i="7"/>
  <c r="P11" i="7"/>
  <c r="P17" i="7"/>
  <c r="P19" i="7"/>
  <c r="P147" i="8"/>
  <c r="P141" i="8"/>
  <c r="P140" i="8"/>
  <c r="P139" i="8"/>
  <c r="P131" i="8"/>
  <c r="P122" i="8"/>
  <c r="P120" i="8"/>
  <c r="P113" i="8"/>
  <c r="P109" i="8"/>
  <c r="P105" i="8"/>
  <c r="P103" i="8"/>
  <c r="P95" i="8"/>
  <c r="P32" i="8"/>
  <c r="P24" i="8"/>
  <c r="P16" i="8"/>
  <c r="P18" i="8"/>
  <c r="P21" i="8"/>
  <c r="P71" i="11"/>
  <c r="P69" i="11"/>
  <c r="P68" i="11"/>
  <c r="P67" i="11"/>
  <c r="P66" i="11"/>
  <c r="P65" i="11"/>
  <c r="P63" i="11"/>
  <c r="P60" i="11"/>
  <c r="P59" i="11"/>
  <c r="P58" i="11"/>
  <c r="P56" i="11"/>
  <c r="P54" i="11"/>
  <c r="P53" i="11"/>
  <c r="P52" i="11"/>
  <c r="P49" i="11"/>
  <c r="P48" i="11"/>
  <c r="P47" i="11"/>
  <c r="P46" i="11"/>
  <c r="P45" i="11"/>
  <c r="P44" i="11"/>
  <c r="P43" i="11"/>
  <c r="P41" i="11"/>
  <c r="P40" i="11"/>
  <c r="P38" i="11"/>
  <c r="P36" i="11"/>
  <c r="P35" i="11"/>
  <c r="P34" i="11"/>
  <c r="P33" i="11"/>
  <c r="P32" i="11"/>
  <c r="P31" i="11"/>
  <c r="P30" i="11"/>
  <c r="P2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R47" i="12"/>
  <c r="R48" i="12"/>
  <c r="R49" i="12"/>
  <c r="R50" i="12"/>
  <c r="R51" i="12"/>
  <c r="R45" i="12"/>
  <c r="R11" i="12"/>
  <c r="R17" i="12"/>
  <c r="R23" i="12"/>
  <c r="R27" i="12"/>
  <c r="R31" i="12"/>
  <c r="R38" i="12"/>
  <c r="R41" i="12"/>
  <c r="R42" i="12"/>
  <c r="R9" i="12"/>
  <c r="R10" i="14"/>
  <c r="R11" i="14"/>
  <c r="R8" i="14"/>
  <c r="AB6" i="14"/>
  <c r="AA6" i="14"/>
  <c r="Z6" i="14"/>
  <c r="Y6" i="14"/>
  <c r="X6" i="14"/>
  <c r="W6" i="14"/>
  <c r="V6" i="14"/>
  <c r="U6" i="14"/>
  <c r="T6" i="14"/>
  <c r="S6" i="14"/>
  <c r="AA6" i="13"/>
  <c r="Z6" i="13"/>
  <c r="Y6" i="13"/>
  <c r="X6" i="13"/>
  <c r="W6" i="13"/>
  <c r="V6" i="13"/>
  <c r="U6" i="13"/>
  <c r="T6" i="13"/>
  <c r="S6" i="13"/>
  <c r="R19" i="12"/>
  <c r="R24" i="12"/>
  <c r="R25" i="12"/>
  <c r="R26" i="12"/>
  <c r="R33" i="12"/>
  <c r="V6" i="11"/>
  <c r="W6" i="11"/>
  <c r="X6" i="11"/>
  <c r="Y6" i="11"/>
  <c r="Z6" i="11"/>
  <c r="Y6" i="8"/>
  <c r="Z6" i="8"/>
  <c r="AC6" i="8"/>
  <c r="Y6" i="7"/>
  <c r="Z6" i="7"/>
  <c r="AA6" i="7"/>
  <c r="S5" i="6"/>
  <c r="T5" i="6"/>
  <c r="U5" i="6"/>
  <c r="Q5" i="3"/>
  <c r="R5" i="3"/>
  <c r="S5" i="3"/>
  <c r="T5" i="3"/>
  <c r="U6" i="11"/>
  <c r="T6" i="11"/>
  <c r="S6" i="11"/>
  <c r="R6" i="11"/>
  <c r="Q6" i="11"/>
  <c r="J3" i="14" l="1"/>
  <c r="H49" i="15"/>
  <c r="I3" i="11"/>
  <c r="K3" i="12"/>
  <c r="B45" i="15"/>
  <c r="I3" i="8"/>
  <c r="R32" i="12"/>
  <c r="R16" i="12"/>
  <c r="R40" i="12"/>
  <c r="P52" i="7"/>
  <c r="R22" i="12"/>
  <c r="R14" i="12"/>
  <c r="P51" i="7"/>
  <c r="R10" i="12"/>
  <c r="R34" i="12"/>
  <c r="R39" i="12"/>
  <c r="R18" i="12"/>
  <c r="R15" i="12"/>
  <c r="P37" i="11"/>
  <c r="G7" i="6"/>
  <c r="C3" i="6" s="1"/>
  <c r="P27" i="7"/>
  <c r="P30" i="8"/>
  <c r="P57" i="8"/>
  <c r="P23" i="8"/>
  <c r="P67" i="7"/>
  <c r="P28" i="7"/>
  <c r="P45" i="7"/>
  <c r="I9" i="6"/>
  <c r="I15" i="3"/>
  <c r="I14" i="3"/>
  <c r="R36" i="12"/>
  <c r="R35" i="12"/>
  <c r="R37" i="12"/>
  <c r="R12" i="12"/>
  <c r="R29" i="12"/>
  <c r="R21" i="12"/>
  <c r="R13" i="12"/>
  <c r="R43" i="12"/>
  <c r="R28" i="12"/>
  <c r="R20" i="12"/>
  <c r="P39" i="11"/>
  <c r="P51" i="11"/>
  <c r="P55" i="11"/>
  <c r="P70" i="11"/>
  <c r="P107" i="8"/>
  <c r="P114" i="8"/>
  <c r="P34" i="8"/>
  <c r="P123" i="8"/>
  <c r="P26" i="8"/>
  <c r="P96" i="8"/>
  <c r="P129" i="8"/>
  <c r="P98" i="8"/>
  <c r="P132" i="8"/>
  <c r="P19" i="8"/>
  <c r="P28" i="8"/>
  <c r="P58" i="8"/>
  <c r="P50" i="8"/>
  <c r="P142" i="8"/>
  <c r="P59" i="8"/>
  <c r="P106" i="8"/>
  <c r="P143" i="8"/>
  <c r="P31" i="7"/>
  <c r="P53" i="7"/>
  <c r="P33" i="7"/>
  <c r="P59" i="7"/>
  <c r="P37" i="7"/>
  <c r="P60" i="7"/>
  <c r="P39" i="7"/>
  <c r="P61" i="7"/>
  <c r="P15" i="7"/>
  <c r="P41" i="7"/>
  <c r="P22" i="7"/>
  <c r="I15" i="6"/>
  <c r="I13" i="6"/>
  <c r="I23" i="3"/>
  <c r="I22" i="3"/>
  <c r="I21" i="3"/>
  <c r="I13" i="3"/>
  <c r="G9" i="3"/>
  <c r="G17" i="3"/>
  <c r="I19" i="3"/>
  <c r="I11" i="3"/>
  <c r="G18" i="3"/>
  <c r="I10" i="3"/>
  <c r="I25" i="3"/>
  <c r="I24" i="3"/>
  <c r="I16" i="3"/>
  <c r="I8" i="3"/>
  <c r="G12" i="3"/>
  <c r="G20" i="3"/>
  <c r="I7" i="3"/>
  <c r="I14" i="6"/>
  <c r="I12" i="6"/>
  <c r="I11" i="6"/>
  <c r="I10" i="6"/>
  <c r="I16" i="6"/>
  <c r="I8" i="6"/>
  <c r="P69" i="7"/>
  <c r="P77" i="7"/>
  <c r="P85" i="7"/>
  <c r="P78" i="7"/>
  <c r="P71" i="7"/>
  <c r="P79" i="7"/>
  <c r="P87" i="7"/>
  <c r="P72" i="7"/>
  <c r="P80" i="7"/>
  <c r="P88" i="7"/>
  <c r="P73" i="7"/>
  <c r="P81" i="7"/>
  <c r="P89" i="7"/>
  <c r="P74" i="7"/>
  <c r="P82" i="7"/>
  <c r="P90" i="7"/>
  <c r="P75" i="7"/>
  <c r="P83" i="7"/>
  <c r="P91" i="7"/>
  <c r="P76" i="7"/>
  <c r="P84" i="7"/>
  <c r="P92" i="7"/>
  <c r="P54" i="7"/>
  <c r="P62" i="7"/>
  <c r="P55" i="7"/>
  <c r="P63" i="7"/>
  <c r="P48" i="7"/>
  <c r="P56" i="7"/>
  <c r="P64" i="7"/>
  <c r="P49" i="7"/>
  <c r="P57" i="7"/>
  <c r="P65" i="7"/>
  <c r="P50" i="7"/>
  <c r="P58" i="7"/>
  <c r="P66" i="7"/>
  <c r="P32" i="7"/>
  <c r="P40" i="7"/>
  <c r="P34" i="7"/>
  <c r="P42" i="7"/>
  <c r="P35" i="7"/>
  <c r="P43" i="7"/>
  <c r="P36" i="7"/>
  <c r="P44" i="7"/>
  <c r="P38" i="7"/>
  <c r="P46" i="7"/>
  <c r="P23" i="7"/>
  <c r="P24" i="7"/>
  <c r="P25" i="7"/>
  <c r="P26" i="7"/>
  <c r="P29" i="7"/>
  <c r="P13" i="7"/>
  <c r="P14" i="7"/>
  <c r="P16" i="7"/>
  <c r="P10" i="7"/>
  <c r="P18" i="7"/>
  <c r="P12" i="7"/>
  <c r="P20" i="7"/>
  <c r="P9" i="7"/>
  <c r="P144" i="8"/>
  <c r="P145" i="8"/>
  <c r="P138" i="8"/>
  <c r="P146" i="8"/>
  <c r="P121" i="8"/>
  <c r="P130" i="8"/>
  <c r="P116" i="8"/>
  <c r="P124" i="8"/>
  <c r="P133" i="8"/>
  <c r="P117" i="8"/>
  <c r="P125" i="8"/>
  <c r="P134" i="8"/>
  <c r="P118" i="8"/>
  <c r="P127" i="8"/>
  <c r="P135" i="8"/>
  <c r="P119" i="8"/>
  <c r="P128" i="8"/>
  <c r="P136" i="8"/>
  <c r="P108" i="8"/>
  <c r="P110" i="8"/>
  <c r="P111" i="8"/>
  <c r="P112" i="8"/>
  <c r="P49" i="8"/>
  <c r="P51" i="8"/>
  <c r="P97" i="8"/>
  <c r="P99" i="8"/>
  <c r="P100" i="8"/>
  <c r="P101" i="8"/>
  <c r="P94" i="8"/>
  <c r="P102" i="8"/>
  <c r="P60" i="8"/>
  <c r="P53" i="8"/>
  <c r="P61" i="8"/>
  <c r="P54" i="8"/>
  <c r="P62" i="8"/>
  <c r="P55" i="8"/>
  <c r="P63" i="8"/>
  <c r="P56" i="8"/>
  <c r="P64" i="8"/>
  <c r="P27" i="8"/>
  <c r="P29" i="8"/>
  <c r="P33" i="8"/>
  <c r="P25" i="8"/>
  <c r="P31" i="8"/>
  <c r="P35" i="8"/>
  <c r="P17" i="8"/>
  <c r="P20" i="8"/>
  <c r="P61" i="11"/>
  <c r="P62" i="11"/>
  <c r="P42" i="11"/>
  <c r="E3" i="11"/>
  <c r="P9" i="11"/>
  <c r="R30" i="12"/>
  <c r="R9" i="14"/>
  <c r="E31" i="15" s="1"/>
  <c r="J3" i="11" l="1"/>
  <c r="E3" i="8"/>
  <c r="J3" i="8" s="1"/>
  <c r="E3" i="14"/>
  <c r="L3" i="12"/>
  <c r="E26" i="15"/>
  <c r="E25" i="15"/>
  <c r="F27" i="15"/>
  <c r="F26" i="15"/>
  <c r="E27" i="15"/>
  <c r="E29" i="15"/>
  <c r="F29" i="15"/>
  <c r="F31" i="15"/>
  <c r="K3" i="14" l="1"/>
  <c r="X6" i="7"/>
  <c r="W6" i="7"/>
  <c r="V6" i="7"/>
  <c r="U6" i="7"/>
  <c r="T6" i="7"/>
  <c r="S6" i="7"/>
  <c r="X6" i="8"/>
  <c r="W6" i="8"/>
  <c r="V6" i="8"/>
  <c r="U6" i="8"/>
  <c r="T6" i="8"/>
  <c r="S6" i="8"/>
  <c r="R6" i="8"/>
  <c r="F24" i="15"/>
  <c r="R5" i="6"/>
  <c r="Q5" i="6"/>
  <c r="P5" i="6"/>
  <c r="O5" i="6"/>
  <c r="N5" i="6"/>
  <c r="M5" i="6"/>
  <c r="L5" i="6"/>
  <c r="D24" i="15" l="1"/>
  <c r="D4" i="3" l="1"/>
  <c r="E91" i="4"/>
  <c r="E90" i="4"/>
  <c r="E89" i="4"/>
  <c r="F89" i="4" s="1"/>
  <c r="E88" i="4"/>
  <c r="E87" i="4"/>
  <c r="E86" i="4"/>
  <c r="F86" i="4" s="1"/>
  <c r="E85" i="4"/>
  <c r="E84" i="4"/>
  <c r="E83" i="4"/>
  <c r="E82" i="4"/>
  <c r="F82" i="4" s="1"/>
  <c r="E81" i="4"/>
  <c r="E80" i="4"/>
  <c r="F80" i="4" s="1"/>
  <c r="E79" i="4"/>
  <c r="E78" i="4"/>
  <c r="F78" i="4" s="1"/>
  <c r="E77" i="4"/>
  <c r="E76" i="4"/>
  <c r="F76" i="4" s="1"/>
  <c r="E75" i="4"/>
  <c r="E74" i="4"/>
  <c r="F74" i="4" s="1"/>
  <c r="E73" i="4"/>
  <c r="E72" i="4"/>
  <c r="E71" i="4"/>
  <c r="E70" i="4"/>
  <c r="F70" i="4" s="1"/>
  <c r="E69" i="4"/>
  <c r="E68" i="4"/>
  <c r="E67" i="4"/>
  <c r="E66" i="4"/>
  <c r="F66" i="4" s="1"/>
  <c r="E65" i="4"/>
  <c r="E64" i="4"/>
  <c r="F64" i="4" s="1"/>
  <c r="E63" i="4"/>
  <c r="E62" i="4"/>
  <c r="F62" i="4" s="1"/>
  <c r="E61" i="4"/>
  <c r="E60" i="4"/>
  <c r="F60" i="4" s="1"/>
  <c r="E59" i="4"/>
  <c r="E58" i="4"/>
  <c r="F58" i="4" s="1"/>
  <c r="E57" i="4"/>
  <c r="F57" i="4" s="1"/>
  <c r="E56" i="4"/>
  <c r="E55" i="4"/>
  <c r="E54" i="4"/>
  <c r="F54" i="4" s="1"/>
  <c r="E53" i="4"/>
  <c r="E52" i="4"/>
  <c r="E51" i="4"/>
  <c r="E50" i="4"/>
  <c r="F50" i="4" s="1"/>
  <c r="E49" i="4"/>
  <c r="E48" i="4"/>
  <c r="E47" i="4"/>
  <c r="E46" i="4"/>
  <c r="F46" i="4" s="1"/>
  <c r="E45" i="4"/>
  <c r="E44" i="4"/>
  <c r="E43" i="4"/>
  <c r="E42" i="4"/>
  <c r="F42" i="4" s="1"/>
  <c r="E41" i="4"/>
  <c r="E40" i="4"/>
  <c r="F40" i="4" s="1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L5" i="3"/>
  <c r="F73" i="4"/>
  <c r="E9" i="4"/>
  <c r="M5" i="3"/>
  <c r="N5" i="3"/>
  <c r="O5" i="3"/>
  <c r="P5" i="3"/>
  <c r="U5" i="3"/>
  <c r="D23" i="15"/>
  <c r="E39" i="4"/>
  <c r="F39" i="4" s="1"/>
  <c r="F23" i="15" l="1"/>
  <c r="E24" i="15"/>
  <c r="E93" i="4"/>
  <c r="E92" i="4"/>
  <c r="F51" i="4"/>
  <c r="F47" i="4"/>
  <c r="F43" i="4"/>
  <c r="F85" i="4"/>
  <c r="F81" i="4"/>
  <c r="F77" i="4"/>
  <c r="F69" i="4"/>
  <c r="F65" i="4"/>
  <c r="F61" i="4"/>
  <c r="F53" i="4"/>
  <c r="F49" i="4"/>
  <c r="F45" i="4"/>
  <c r="F41" i="4"/>
  <c r="F88" i="4"/>
  <c r="F84" i="4"/>
  <c r="F72" i="4"/>
  <c r="F68" i="4"/>
  <c r="F56" i="4"/>
  <c r="F48" i="4"/>
  <c r="F55" i="4"/>
  <c r="F52" i="4"/>
  <c r="F44" i="4"/>
  <c r="F91" i="4"/>
  <c r="F79" i="4"/>
  <c r="F71" i="4"/>
  <c r="F63" i="4"/>
  <c r="F90" i="4"/>
  <c r="F87" i="4"/>
  <c r="F83" i="4"/>
  <c r="F75" i="4"/>
  <c r="F67" i="4"/>
  <c r="F59" i="4"/>
  <c r="D3" i="3"/>
  <c r="F9" i="4" l="1"/>
  <c r="F33" i="4"/>
  <c r="F36" i="4"/>
  <c r="F38" i="4"/>
  <c r="F34" i="4"/>
  <c r="F37" i="4"/>
  <c r="F35" i="4"/>
  <c r="F32" i="4"/>
  <c r="F15" i="4" l="1"/>
  <c r="F23" i="4"/>
  <c r="F12" i="4"/>
  <c r="F16" i="4"/>
  <c r="F20" i="4"/>
  <c r="F24" i="4"/>
  <c r="F28" i="4"/>
  <c r="F18" i="4"/>
  <c r="F19" i="4"/>
  <c r="F13" i="4"/>
  <c r="F17" i="4"/>
  <c r="F21" i="4"/>
  <c r="F25" i="4"/>
  <c r="F29" i="4"/>
  <c r="F14" i="4"/>
  <c r="F26" i="4"/>
  <c r="F27" i="4"/>
  <c r="F31" i="4"/>
  <c r="F22" i="4"/>
  <c r="F30" i="4"/>
  <c r="E23" i="15" l="1"/>
  <c r="F10" i="4"/>
  <c r="F11" i="4"/>
  <c r="F93" i="4" l="1"/>
  <c r="F92" i="4"/>
  <c r="E4" i="13" l="1" a="1"/>
  <c r="E4" i="13" s="1"/>
  <c r="D30" i="15" s="1"/>
  <c r="D32" i="15" s="1"/>
  <c r="R13" i="13"/>
  <c r="Q13" i="13"/>
  <c r="R18" i="13"/>
  <c r="Q18" i="13"/>
  <c r="Q22" i="13"/>
  <c r="R22" i="13"/>
  <c r="Q10" i="13"/>
  <c r="Q14" i="13"/>
  <c r="R12" i="13"/>
  <c r="Q12" i="13"/>
  <c r="R15" i="13"/>
  <c r="Q15" i="13"/>
  <c r="Q20" i="13"/>
  <c r="R20" i="13"/>
  <c r="Q19" i="13"/>
  <c r="Q11" i="13"/>
  <c r="Q16" i="13"/>
  <c r="E3" i="13" l="1"/>
  <c r="K3" i="13" s="1"/>
  <c r="E30" i="15"/>
  <c r="E32" i="15" s="1"/>
  <c r="F30" i="15"/>
  <c r="F25" i="15" l="1"/>
  <c r="F32" i="15" s="1"/>
  <c r="K9" i="7"/>
  <c r="L9" i="7" s="1"/>
  <c r="I3" i="7" s="1"/>
  <c r="J9" i="7"/>
  <c r="E3" i="7" l="1"/>
  <c r="J3" i="7" s="1"/>
  <c r="F33" i="15"/>
  <c r="F34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C966AD50-85E2-48AE-8BDD-4A8D48CB911C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C762743B-767A-4D45-85D4-E16314860366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0504AD69-8606-4DCE-A0AB-67738968963D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D8EAD4B7-2864-4FDA-9BAA-89AD304150AA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DBA3CAD-97BA-4B81-BE71-DAB8CF8BA84C}" keepAlive="1" name="Query - eurofxref-daily(1)" description="Connection to the 'eurofxref-daily' query in the workbook." type="5" refreshedVersion="8" background="1" saveData="1">
    <dbPr connection="Provider=Microsoft.Mashup.OleDb.1;Data Source=$Workbook$;Location=eurofxref-daily;Extended Properties=&quot;&quot;" command="SELECT * FROM [eurofxref-daily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<sst xmlns="http://schemas.openxmlformats.org/spreadsheetml/2006/main" count="2711" uniqueCount="2070">
  <si>
    <t>Sum Price without VAT</t>
  </si>
  <si>
    <t>Name</t>
  </si>
  <si>
    <t>Code</t>
  </si>
  <si>
    <t>Weight (kg)</t>
  </si>
  <si>
    <t>RAL 4008</t>
  </si>
  <si>
    <t>RAL 5015</t>
  </si>
  <si>
    <t>RAL 6018</t>
  </si>
  <si>
    <t>RAL 9010</t>
  </si>
  <si>
    <t>RAL 9005</t>
  </si>
  <si>
    <t>Total Price</t>
  </si>
  <si>
    <t>SETS</t>
  </si>
  <si>
    <t>SUM Weight  (kg)</t>
  </si>
  <si>
    <t>Number of pcs</t>
  </si>
  <si>
    <t>Size (cm)</t>
  </si>
  <si>
    <t>RAL 3020</t>
  </si>
  <si>
    <t>Total PCS</t>
  </si>
  <si>
    <t>Customer:</t>
  </si>
  <si>
    <t xml:space="preserve">Company VAT number: </t>
  </si>
  <si>
    <t>REFRESH</t>
  </si>
  <si>
    <t>Sum PCS</t>
  </si>
  <si>
    <t>Delivery addressa and phone contact number:</t>
  </si>
  <si>
    <t>Notes:</t>
  </si>
  <si>
    <t>Expression Price</t>
  </si>
  <si>
    <t>Tricky 1 A</t>
  </si>
  <si>
    <t>Tricky 1 B</t>
  </si>
  <si>
    <t>Tricky 2 A</t>
  </si>
  <si>
    <t>Tricky 2 B</t>
  </si>
  <si>
    <t>Tricky 3 A</t>
  </si>
  <si>
    <t>Tricky 3 B</t>
  </si>
  <si>
    <t>Trip 1 A</t>
  </si>
  <si>
    <t>Trip 1 B</t>
  </si>
  <si>
    <t>Trip 1 C</t>
  </si>
  <si>
    <t>Trip 2 A</t>
  </si>
  <si>
    <t>Trip 2 B</t>
  </si>
  <si>
    <t>Trip 2 C</t>
  </si>
  <si>
    <t>Trip 3 A</t>
  </si>
  <si>
    <t>Trip 3 B</t>
  </si>
  <si>
    <t>Trip 3 C</t>
  </si>
  <si>
    <t>Trip 4 A</t>
  </si>
  <si>
    <t>Trip 4 B</t>
  </si>
  <si>
    <t>Trip 4 C</t>
  </si>
  <si>
    <t>Trip 5 A</t>
  </si>
  <si>
    <t>Trip 5 B</t>
  </si>
  <si>
    <t>Trip 5 C</t>
  </si>
  <si>
    <t>Quasar 1</t>
  </si>
  <si>
    <t>Quasar 2</t>
  </si>
  <si>
    <t>Quasar 3</t>
  </si>
  <si>
    <t>Quantum 1 A</t>
  </si>
  <si>
    <t>Quantum 1 B</t>
  </si>
  <si>
    <t>Quantum 2 A</t>
  </si>
  <si>
    <t>Quantum 2 B</t>
  </si>
  <si>
    <t>Quantum 3 A</t>
  </si>
  <si>
    <t>Quantum 3 B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</si>
  <si>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</si>
  <si>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</si>
  <si>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</si>
  <si>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</si>
  <si>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</si>
  <si>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</si>
  <si>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</si>
  <si>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</si>
  <si>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</si>
  <si>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</si>
  <si>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</si>
  <si>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</si>
  <si>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</si>
  <si>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</si>
  <si>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</si>
  <si>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</si>
  <si>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</si>
  <si>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</si>
  <si>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</si>
  <si>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</si>
  <si>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</si>
  <si>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</si>
  <si>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</si>
  <si>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</si>
  <si>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</si>
  <si>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</si>
  <si>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</si>
  <si>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</si>
  <si>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</si>
  <si>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</si>
  <si>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TOTAL</t>
  </si>
  <si>
    <t>RAL 2004</t>
  </si>
  <si>
    <t>TOTAL PRICE</t>
  </si>
  <si>
    <t>NAME</t>
  </si>
  <si>
    <t>P-GIANTS-1</t>
  </si>
  <si>
    <t>E31</t>
  </si>
  <si>
    <t>P-GIANTS-2</t>
  </si>
  <si>
    <t>E32</t>
  </si>
  <si>
    <t>P-GIANTS-3</t>
  </si>
  <si>
    <t>E33</t>
  </si>
  <si>
    <t>P-GIANTS-4</t>
  </si>
  <si>
    <t>E34</t>
  </si>
  <si>
    <t>P-GIANTS-5</t>
  </si>
  <si>
    <t>E35</t>
  </si>
  <si>
    <t>P-GIANTS-6</t>
  </si>
  <si>
    <t>E36</t>
  </si>
  <si>
    <t>P-GIANTS-7</t>
  </si>
  <si>
    <t>E37</t>
  </si>
  <si>
    <t>P-GIANTS-8</t>
  </si>
  <si>
    <t>E38</t>
  </si>
  <si>
    <t>P-GIANTS-9</t>
  </si>
  <si>
    <t>E39</t>
  </si>
  <si>
    <t>P-GIANTS-10</t>
  </si>
  <si>
    <t>E40</t>
  </si>
  <si>
    <t>P-GIANTS-11</t>
  </si>
  <si>
    <t>E41</t>
  </si>
  <si>
    <t>P-GIANTS-12</t>
  </si>
  <si>
    <t>E42</t>
  </si>
  <si>
    <t>P-GIANTS-13</t>
  </si>
  <si>
    <t>E43</t>
  </si>
  <si>
    <t>P-GIANTS-14</t>
  </si>
  <si>
    <t>E44</t>
  </si>
  <si>
    <t>P-GIANTS-15</t>
  </si>
  <si>
    <t>E45</t>
  </si>
  <si>
    <t>RANGE-2-1</t>
  </si>
  <si>
    <t>E46</t>
  </si>
  <si>
    <t>RANGE-2-2</t>
  </si>
  <si>
    <t>E47</t>
  </si>
  <si>
    <t>RANGE-2-3</t>
  </si>
  <si>
    <t>E48</t>
  </si>
  <si>
    <t>RANGE-2-4</t>
  </si>
  <si>
    <t>E49</t>
  </si>
  <si>
    <t>RANGE-2-5</t>
  </si>
  <si>
    <t>E50</t>
  </si>
  <si>
    <t>RANGE-2-6</t>
  </si>
  <si>
    <t>E51</t>
  </si>
  <si>
    <t>RANGE-2-7</t>
  </si>
  <si>
    <t>E52</t>
  </si>
  <si>
    <t>RANGE-2-8</t>
  </si>
  <si>
    <t>E53</t>
  </si>
  <si>
    <t>RANGE-2-9</t>
  </si>
  <si>
    <t>E54</t>
  </si>
  <si>
    <t>RANGE-2-10</t>
  </si>
  <si>
    <t>E55</t>
  </si>
  <si>
    <t>RANGE-2-11</t>
  </si>
  <si>
    <t>E56</t>
  </si>
  <si>
    <t>RANGE-2-12</t>
  </si>
  <si>
    <t>E57</t>
  </si>
  <si>
    <t>RANGE-2-13</t>
  </si>
  <si>
    <t>E58</t>
  </si>
  <si>
    <t>RANGE-2-14</t>
  </si>
  <si>
    <t>E59</t>
  </si>
  <si>
    <t>RANGE-2-15</t>
  </si>
  <si>
    <t>E60</t>
  </si>
  <si>
    <t>BEAT BOXES 1</t>
  </si>
  <si>
    <t>E61</t>
  </si>
  <si>
    <t>BEAT BOXES 2</t>
  </si>
  <si>
    <t>E62</t>
  </si>
  <si>
    <t>BEAT BOXES 3</t>
  </si>
  <si>
    <t>E63</t>
  </si>
  <si>
    <t>BEAT BOXES 4</t>
  </si>
  <si>
    <t>E64</t>
  </si>
  <si>
    <t>BEAT BOXES 5</t>
  </si>
  <si>
    <t>E65</t>
  </si>
  <si>
    <t>P-SMALL-1</t>
  </si>
  <si>
    <t>E66</t>
  </si>
  <si>
    <t>P-SMALL-2</t>
  </si>
  <si>
    <t>E67</t>
  </si>
  <si>
    <t>P-SMALL-3</t>
  </si>
  <si>
    <t>E68</t>
  </si>
  <si>
    <t>P-SMALL-4</t>
  </si>
  <si>
    <t>E69</t>
  </si>
  <si>
    <t>P-SMALL-5</t>
  </si>
  <si>
    <t>E70</t>
  </si>
  <si>
    <t>P-SMALL-6</t>
  </si>
  <si>
    <t>E71</t>
  </si>
  <si>
    <t>P-SMALL-7</t>
  </si>
  <si>
    <t>E72</t>
  </si>
  <si>
    <t>P-SMALL-8</t>
  </si>
  <si>
    <t>E73</t>
  </si>
  <si>
    <t>P-SMALL-9</t>
  </si>
  <si>
    <t>E74</t>
  </si>
  <si>
    <t>P-SMALL-10</t>
  </si>
  <si>
    <t>E75</t>
  </si>
  <si>
    <t>P-SMALL-11</t>
  </si>
  <si>
    <t>E76</t>
  </si>
  <si>
    <t>P-SMALL-12</t>
  </si>
  <si>
    <t>E77</t>
  </si>
  <si>
    <t>P-SMALL-13</t>
  </si>
  <si>
    <t>E78</t>
  </si>
  <si>
    <t>P-SMALL-14</t>
  </si>
  <si>
    <t>E79</t>
  </si>
  <si>
    <t>P-SMALL-15</t>
  </si>
  <si>
    <t>E80</t>
  </si>
  <si>
    <t>P-SMALL-16</t>
  </si>
  <si>
    <t>E81</t>
  </si>
  <si>
    <t>P-SMALL-17</t>
  </si>
  <si>
    <t>E82</t>
  </si>
  <si>
    <t>P-SMALL-18</t>
  </si>
  <si>
    <t>E83</t>
  </si>
  <si>
    <t>LOGO size and color</t>
  </si>
  <si>
    <t>Veličina i boja LOGA</t>
  </si>
  <si>
    <t>T-NUTS    type</t>
  </si>
  <si>
    <t>Vrsta     matica</t>
  </si>
  <si>
    <t>RAL 7046</t>
  </si>
  <si>
    <t>RAL 7024</t>
  </si>
  <si>
    <t>Pyramid PL 1.1.</t>
  </si>
  <si>
    <t>Pyramid PL 2.1.</t>
  </si>
  <si>
    <t>Pyramid PL 3.1.</t>
  </si>
  <si>
    <t>Pyramid PL 6.1.</t>
  </si>
  <si>
    <t>Polyester Insert 1</t>
  </si>
  <si>
    <t>Polyester Insert 2</t>
  </si>
  <si>
    <t>Polyester Insert 3</t>
  </si>
  <si>
    <t>Wood Insert P_1</t>
  </si>
  <si>
    <t>Wood Insert P_2</t>
  </si>
  <si>
    <t>Wood Insert P_3</t>
  </si>
  <si>
    <t>Wood Insert P_4</t>
  </si>
  <si>
    <t>Wood Insert P_5</t>
  </si>
  <si>
    <t>Wood Insert P_6</t>
  </si>
  <si>
    <t>Wood Insert PENTAGON_1</t>
  </si>
  <si>
    <t>Wood Insert PENTAGON_2</t>
  </si>
  <si>
    <t>Wood Insert PENTAGON_3</t>
  </si>
  <si>
    <t>Wood Insert ALL ANGLES_2</t>
  </si>
  <si>
    <t>Wood Insert ALL ANGLES_4</t>
  </si>
  <si>
    <t>Wood Insert ALL ANGLES_6</t>
  </si>
  <si>
    <t>IL 2706</t>
  </si>
  <si>
    <t>IL 2707</t>
  </si>
  <si>
    <t>IL 2708</t>
  </si>
  <si>
    <t>IL 2709</t>
  </si>
  <si>
    <t>IL 2703</t>
  </si>
  <si>
    <t>IL 2704</t>
  </si>
  <si>
    <t>IL 2705</t>
  </si>
  <si>
    <t>IL 2681</t>
  </si>
  <si>
    <t>IL 2682</t>
  </si>
  <si>
    <t>IL 2683</t>
  </si>
  <si>
    <t>IL 2684</t>
  </si>
  <si>
    <t>IL 2685</t>
  </si>
  <si>
    <t>IL 2686</t>
  </si>
  <si>
    <t>IL 2687</t>
  </si>
  <si>
    <t>IL 2688</t>
  </si>
  <si>
    <t>IL 2689</t>
  </si>
  <si>
    <t>IL 2690</t>
  </si>
  <si>
    <t>IL 2691</t>
  </si>
  <si>
    <t>IL 2692</t>
  </si>
  <si>
    <t>PRICE</t>
  </si>
  <si>
    <t>Oval cone Pinch 1 Carbon Look</t>
  </si>
  <si>
    <t>Oval cone Pinch 2 Carbon Look</t>
  </si>
  <si>
    <t>Oval cone Pinch  3 Carbon Look</t>
  </si>
  <si>
    <t>Oval cone Pinch 4 Carbon Look</t>
  </si>
  <si>
    <t>Oval cone Pinch 5 Carbon Look</t>
  </si>
  <si>
    <t>Oval cone Pinch 6 Carbon Look</t>
  </si>
  <si>
    <t>Oval cone Pinch 7 Carbon Look</t>
  </si>
  <si>
    <t>Oval cone Pinch 8 Carbon Look</t>
  </si>
  <si>
    <t>Oval cone Pinch 9 Carbon Look</t>
  </si>
  <si>
    <t>Oval cone Pinch 10 Carbon Look</t>
  </si>
  <si>
    <t>IL 2693 CL</t>
  </si>
  <si>
    <t>IL 2694 CL</t>
  </si>
  <si>
    <t>IL 2701 CL</t>
  </si>
  <si>
    <t>IL 2702 CL</t>
  </si>
  <si>
    <t>IL 2700 CL</t>
  </si>
  <si>
    <t>IL 2695 CL</t>
  </si>
  <si>
    <t>IL 2696 CL</t>
  </si>
  <si>
    <t>IL 2697 CL</t>
  </si>
  <si>
    <t>IL 2698 CL</t>
  </si>
  <si>
    <t>IL 2699 CL</t>
  </si>
  <si>
    <t>IL 2564</t>
  </si>
  <si>
    <t>Wings 90 R</t>
  </si>
  <si>
    <t>IL 2565</t>
  </si>
  <si>
    <t>Wings 90 L</t>
  </si>
  <si>
    <t>IL 2566</t>
  </si>
  <si>
    <t>Wings 80 R</t>
  </si>
  <si>
    <t>IL 2567</t>
  </si>
  <si>
    <t>Wings 80 L</t>
  </si>
  <si>
    <t>IL 2568</t>
  </si>
  <si>
    <t>Wings 70 R</t>
  </si>
  <si>
    <t>IL 2569</t>
  </si>
  <si>
    <t>Wings 70 L</t>
  </si>
  <si>
    <t>IL 2570</t>
  </si>
  <si>
    <t>Wings 60 R</t>
  </si>
  <si>
    <t>IL 2571</t>
  </si>
  <si>
    <t>Wings 60 L</t>
  </si>
  <si>
    <t>IL 2572</t>
  </si>
  <si>
    <t>Wings 50 R</t>
  </si>
  <si>
    <t>IL 2573</t>
  </si>
  <si>
    <t>Wings 50 L</t>
  </si>
  <si>
    <t>IL 2574</t>
  </si>
  <si>
    <t>Wings 40 R</t>
  </si>
  <si>
    <t>IL 2575</t>
  </si>
  <si>
    <t>Wings 40 L</t>
  </si>
  <si>
    <t>IL 2576</t>
  </si>
  <si>
    <t>Pinch 1 L</t>
  </si>
  <si>
    <t>IL 2577</t>
  </si>
  <si>
    <t>Pinch 1 R</t>
  </si>
  <si>
    <t>IL 2578</t>
  </si>
  <si>
    <t>Pinch 2 L</t>
  </si>
  <si>
    <t>IL 2579</t>
  </si>
  <si>
    <t>Pinch 2 R</t>
  </si>
  <si>
    <t>IL 2580</t>
  </si>
  <si>
    <t>Pinch 3 L</t>
  </si>
  <si>
    <t>IL 2581</t>
  </si>
  <si>
    <t>Pinch 3 R</t>
  </si>
  <si>
    <t>IL 2582</t>
  </si>
  <si>
    <t>Pinch 4 L</t>
  </si>
  <si>
    <t>IL 2583</t>
  </si>
  <si>
    <t>Pinch 4 R</t>
  </si>
  <si>
    <t>IL 2665</t>
  </si>
  <si>
    <t>Trios Octus 35_1</t>
  </si>
  <si>
    <t>IL 2666</t>
  </si>
  <si>
    <t>Trios Octus 35_2</t>
  </si>
  <si>
    <t>IL 2667</t>
  </si>
  <si>
    <t>Trios Octus 35_3</t>
  </si>
  <si>
    <t>IL 2668</t>
  </si>
  <si>
    <t>Trios Octus 35_4</t>
  </si>
  <si>
    <t>IL 2669</t>
  </si>
  <si>
    <t>Trios Octus 35_5</t>
  </si>
  <si>
    <t>IL 2670</t>
  </si>
  <si>
    <t>Trios Octus 35_6</t>
  </si>
  <si>
    <t>IL 2671</t>
  </si>
  <si>
    <t>Trios Octus 35_7</t>
  </si>
  <si>
    <t>IL 2672</t>
  </si>
  <si>
    <t>Trios Octus 35_8</t>
  </si>
  <si>
    <t>IL 2673</t>
  </si>
  <si>
    <t>IL 2674</t>
  </si>
  <si>
    <t>IL 2675</t>
  </si>
  <si>
    <t>IL 2676</t>
  </si>
  <si>
    <t>IL 2677</t>
  </si>
  <si>
    <t>IL 2678</t>
  </si>
  <si>
    <t>IL 2679</t>
  </si>
  <si>
    <t>IL 2680</t>
  </si>
  <si>
    <t>IL2681</t>
  </si>
  <si>
    <t>IL2682</t>
  </si>
  <si>
    <t>IL2683</t>
  </si>
  <si>
    <t>IL2684</t>
  </si>
  <si>
    <t>IL2685</t>
  </si>
  <si>
    <t>IL2686</t>
  </si>
  <si>
    <t>IL2687</t>
  </si>
  <si>
    <t>IL2688</t>
  </si>
  <si>
    <t>IL2689</t>
  </si>
  <si>
    <t>IL2690</t>
  </si>
  <si>
    <t>IL2691</t>
  </si>
  <si>
    <t>IL2692</t>
  </si>
  <si>
    <t>IL2693</t>
  </si>
  <si>
    <t>IL2694</t>
  </si>
  <si>
    <t>IL2695</t>
  </si>
  <si>
    <t>IL2696</t>
  </si>
  <si>
    <t>IL2697</t>
  </si>
  <si>
    <t>IL2698</t>
  </si>
  <si>
    <t>IL2699</t>
  </si>
  <si>
    <t>IL2700</t>
  </si>
  <si>
    <t>IL2710</t>
  </si>
  <si>
    <t>Manta Closed L 750</t>
  </si>
  <si>
    <t>IL2711</t>
  </si>
  <si>
    <t>Manta Closed R 750</t>
  </si>
  <si>
    <t>IL2712</t>
  </si>
  <si>
    <t>Manta Open L 750</t>
  </si>
  <si>
    <t>IL2713</t>
  </si>
  <si>
    <t>Manta Open R 750</t>
  </si>
  <si>
    <t>IL2714</t>
  </si>
  <si>
    <t>Manta Closed L 900</t>
  </si>
  <si>
    <t>IL2715</t>
  </si>
  <si>
    <t>Manta Closed R 900</t>
  </si>
  <si>
    <t>IL2716</t>
  </si>
  <si>
    <t>Manta Open L 900</t>
  </si>
  <si>
    <t>IL2717</t>
  </si>
  <si>
    <t>Manta Open R 900</t>
  </si>
  <si>
    <t>IL2718</t>
  </si>
  <si>
    <t>Manta Closed L 1000</t>
  </si>
  <si>
    <t>IL2719</t>
  </si>
  <si>
    <t>Manta Closed R 1000</t>
  </si>
  <si>
    <t>IL2720</t>
  </si>
  <si>
    <t>Manta Open L 1000</t>
  </si>
  <si>
    <t>IL2721</t>
  </si>
  <si>
    <t>Manta Open R 1000</t>
  </si>
  <si>
    <t>IL2722</t>
  </si>
  <si>
    <t>Manta Closed L 1150</t>
  </si>
  <si>
    <t>IL2723</t>
  </si>
  <si>
    <t>Manta Closed R 1150</t>
  </si>
  <si>
    <t>IL2724</t>
  </si>
  <si>
    <t>Manta Open L 1150</t>
  </si>
  <si>
    <t>IL2725</t>
  </si>
  <si>
    <t>Manta Open R 1150</t>
  </si>
  <si>
    <t>IL2726</t>
  </si>
  <si>
    <t>Manta Closed L 1300</t>
  </si>
  <si>
    <t>IL2727</t>
  </si>
  <si>
    <t>Manta Closed R 1300</t>
  </si>
  <si>
    <t>IL2728</t>
  </si>
  <si>
    <t>Manta Open L 1300</t>
  </si>
  <si>
    <t>IL2729</t>
  </si>
  <si>
    <t>Manta Open R 1300</t>
  </si>
  <si>
    <t>IL2730</t>
  </si>
  <si>
    <t>Manta Closed L 1450</t>
  </si>
  <si>
    <t>IL2731</t>
  </si>
  <si>
    <t>Manta Closed R 1450</t>
  </si>
  <si>
    <t>IL2732</t>
  </si>
  <si>
    <t>Manta Open L 1450</t>
  </si>
  <si>
    <t>IL2733</t>
  </si>
  <si>
    <t>Manta Open R 1450</t>
  </si>
  <si>
    <t>130x50x22</t>
  </si>
  <si>
    <t>130x50x21</t>
  </si>
  <si>
    <t>130x50x20</t>
  </si>
  <si>
    <t>130x50x19</t>
  </si>
  <si>
    <t>130x50x18</t>
  </si>
  <si>
    <t>130x50x17</t>
  </si>
  <si>
    <t>18x90x11</t>
  </si>
  <si>
    <t>20x82x11</t>
  </si>
  <si>
    <t>24x96x14</t>
  </si>
  <si>
    <t>19x96x14</t>
  </si>
  <si>
    <t>22x125x14</t>
  </si>
  <si>
    <t>23x121x16</t>
  </si>
  <si>
    <t>19x144x19</t>
  </si>
  <si>
    <t>19x144x18</t>
  </si>
  <si>
    <t>40x35x8</t>
  </si>
  <si>
    <t>65x56x13</t>
  </si>
  <si>
    <t>90x78x18</t>
  </si>
  <si>
    <t>115x100x23</t>
  </si>
  <si>
    <t>140x121x28</t>
  </si>
  <si>
    <t>165x143x33</t>
  </si>
  <si>
    <t>190x165x38</t>
  </si>
  <si>
    <t>215x186x44</t>
  </si>
  <si>
    <t>20x17x6</t>
  </si>
  <si>
    <t>40x35x15</t>
  </si>
  <si>
    <t>60x52x17</t>
  </si>
  <si>
    <t>80x69x23</t>
  </si>
  <si>
    <t>100x87x29</t>
  </si>
  <si>
    <t>120x104x35</t>
  </si>
  <si>
    <t>140x121x40</t>
  </si>
  <si>
    <t>160x139x46</t>
  </si>
  <si>
    <t>125x67x19</t>
  </si>
  <si>
    <t>130x71x20</t>
  </si>
  <si>
    <t>117x101x20</t>
  </si>
  <si>
    <t>119x72x19</t>
  </si>
  <si>
    <t>143x78x20</t>
  </si>
  <si>
    <t>113x73x20</t>
  </si>
  <si>
    <t>124x86x16</t>
  </si>
  <si>
    <t>117x65x16</t>
  </si>
  <si>
    <t>112x62x16</t>
  </si>
  <si>
    <t>121x64x20</t>
  </si>
  <si>
    <t>75x45x15</t>
  </si>
  <si>
    <t xml:space="preserve"> 90x43x16</t>
  </si>
  <si>
    <t>100x48x20</t>
  </si>
  <si>
    <t>115x55x19</t>
  </si>
  <si>
    <t>130x62x27</t>
  </si>
  <si>
    <t>145x70x24</t>
  </si>
  <si>
    <t>47,5x26x14</t>
  </si>
  <si>
    <t>62x33,5x20</t>
  </si>
  <si>
    <t>55x32x15</t>
  </si>
  <si>
    <t>58,5x38x19</t>
  </si>
  <si>
    <t>69x17x17</t>
  </si>
  <si>
    <t>85x36,5x27</t>
  </si>
  <si>
    <t>85x27,5x23</t>
  </si>
  <si>
    <t>89,5x31,5x27</t>
  </si>
  <si>
    <t>75,5x49x18</t>
  </si>
  <si>
    <t>80,5x50x21</t>
  </si>
  <si>
    <t>54x54</t>
  </si>
  <si>
    <t>145x101</t>
  </si>
  <si>
    <t>127x123</t>
  </si>
  <si>
    <t>170X128</t>
  </si>
  <si>
    <t>154x151</t>
  </si>
  <si>
    <t>WINGS RANGE</t>
  </si>
  <si>
    <t>PINCH RANGE</t>
  </si>
  <si>
    <t>TRIOS OCTUS</t>
  </si>
  <si>
    <t>MANTA</t>
  </si>
  <si>
    <t>IZOHYPSE RANGE</t>
  </si>
  <si>
    <t>IL 2613 DT</t>
  </si>
  <si>
    <t>IL 2613</t>
  </si>
  <si>
    <t>IL 2614 DT</t>
  </si>
  <si>
    <t>IL 2614</t>
  </si>
  <si>
    <t>IL 2615 DT</t>
  </si>
  <si>
    <t>IL 2615</t>
  </si>
  <si>
    <t>IL 2616 DT</t>
  </si>
  <si>
    <t>IL 2616</t>
  </si>
  <si>
    <t>IL 2617 DT</t>
  </si>
  <si>
    <t>IL 2617</t>
  </si>
  <si>
    <t>IL 2618 DT</t>
  </si>
  <si>
    <t>IL 2618</t>
  </si>
  <si>
    <t>91×63×22</t>
  </si>
  <si>
    <t>85×68×30</t>
  </si>
  <si>
    <t>89×64×30</t>
  </si>
  <si>
    <t>77×80×22</t>
  </si>
  <si>
    <t>76×68×20</t>
  </si>
  <si>
    <t>64×78×24</t>
  </si>
  <si>
    <t>IL 2620</t>
  </si>
  <si>
    <t>IL 2621</t>
  </si>
  <si>
    <t>IL 2622</t>
  </si>
  <si>
    <t>IL 2623</t>
  </si>
  <si>
    <t>IL 2624</t>
  </si>
  <si>
    <t>IL 2625</t>
  </si>
  <si>
    <t>IL 2626</t>
  </si>
  <si>
    <t>IL 2627</t>
  </si>
  <si>
    <t>IL 2628</t>
  </si>
  <si>
    <t>IL 2629</t>
  </si>
  <si>
    <t>IL 2630</t>
  </si>
  <si>
    <t>IL 2631</t>
  </si>
  <si>
    <t>116×51×16</t>
  </si>
  <si>
    <t>116×16×18</t>
  </si>
  <si>
    <t>116×46×18</t>
  </si>
  <si>
    <t>73×14×4</t>
  </si>
  <si>
    <t>60×15</t>
  </si>
  <si>
    <t>60×20</t>
  </si>
  <si>
    <t>60×30</t>
  </si>
  <si>
    <t>CONE RANGE</t>
  </si>
  <si>
    <t>ILUSION RANGE</t>
  </si>
  <si>
    <t>IL 2601</t>
  </si>
  <si>
    <t>IL 2602</t>
  </si>
  <si>
    <t>IL 2603</t>
  </si>
  <si>
    <t>IL 2604</t>
  </si>
  <si>
    <t>IL 2605</t>
  </si>
  <si>
    <t>IL 2606</t>
  </si>
  <si>
    <t>IL 2607</t>
  </si>
  <si>
    <t>IL 2608</t>
  </si>
  <si>
    <t>IL 2609</t>
  </si>
  <si>
    <t>IL 2610</t>
  </si>
  <si>
    <t>IL 2611</t>
  </si>
  <si>
    <t>IL 2612</t>
  </si>
  <si>
    <t>90×60×25</t>
  </si>
  <si>
    <t>80×50×21</t>
  </si>
  <si>
    <t>99×50×22</t>
  </si>
  <si>
    <t>75×36×20</t>
  </si>
  <si>
    <t>86×30×14</t>
  </si>
  <si>
    <t>86×25×18</t>
  </si>
  <si>
    <t>76×25×20</t>
  </si>
  <si>
    <t>94×40×15</t>
  </si>
  <si>
    <t>85×44×18</t>
  </si>
  <si>
    <t>96×27×21</t>
  </si>
  <si>
    <t>84×28×14</t>
  </si>
  <si>
    <t>95×24×11</t>
  </si>
  <si>
    <t>OVAL RANGE</t>
  </si>
  <si>
    <t>IL 2632 DT</t>
  </si>
  <si>
    <t xml:space="preserve">IL 2632 </t>
  </si>
  <si>
    <t>IL 2633 DT</t>
  </si>
  <si>
    <t>IL 2633</t>
  </si>
  <si>
    <t>IL 2634 DT</t>
  </si>
  <si>
    <t>IL 2634</t>
  </si>
  <si>
    <t>IL 2635 DT</t>
  </si>
  <si>
    <t>IL 2635</t>
  </si>
  <si>
    <t>IL 2636 DT</t>
  </si>
  <si>
    <t>IL 2636</t>
  </si>
  <si>
    <t>IL 2637 DT</t>
  </si>
  <si>
    <t>IL 2637</t>
  </si>
  <si>
    <t>IL 2638 DT</t>
  </si>
  <si>
    <t>IL 2638</t>
  </si>
  <si>
    <t>IL 2639 DT</t>
  </si>
  <si>
    <t>IL 2639</t>
  </si>
  <si>
    <t>IL 2640 DT</t>
  </si>
  <si>
    <t>IL 2640</t>
  </si>
  <si>
    <t>IL 2641 DT</t>
  </si>
  <si>
    <t>IL 2641</t>
  </si>
  <si>
    <t>41×26×13</t>
  </si>
  <si>
    <t>45×34×15</t>
  </si>
  <si>
    <t>50×30×16</t>
  </si>
  <si>
    <t>40×27×14</t>
  </si>
  <si>
    <t>38×24×8</t>
  </si>
  <si>
    <t>35×26×10</t>
  </si>
  <si>
    <t>36×27×10</t>
  </si>
  <si>
    <t>43,5×26×11</t>
  </si>
  <si>
    <t>54×26,5×15,5</t>
  </si>
  <si>
    <t>62×35×14</t>
  </si>
  <si>
    <t>IL 2642</t>
  </si>
  <si>
    <t>IL 2643</t>
  </si>
  <si>
    <t>IL 2644</t>
  </si>
  <si>
    <t>IL 2645</t>
  </si>
  <si>
    <t>IL 2646</t>
  </si>
  <si>
    <t>42x75x19</t>
  </si>
  <si>
    <t>34x55x16</t>
  </si>
  <si>
    <t>48x60x16</t>
  </si>
  <si>
    <t>40x66x18</t>
  </si>
  <si>
    <t>40x63x15</t>
  </si>
  <si>
    <t>79x55x24</t>
  </si>
  <si>
    <t>74x48x22</t>
  </si>
  <si>
    <t>80x51x27</t>
  </si>
  <si>
    <t>59x38x16</t>
  </si>
  <si>
    <t>65x45x18</t>
  </si>
  <si>
    <t>76x50x21</t>
  </si>
  <si>
    <t>65x40x17</t>
  </si>
  <si>
    <t>70x48x19</t>
  </si>
  <si>
    <t>60x36x16</t>
  </si>
  <si>
    <t>70x43x20</t>
  </si>
  <si>
    <t>IL 2651</t>
  </si>
  <si>
    <t>IL 2652</t>
  </si>
  <si>
    <t>IL 2653</t>
  </si>
  <si>
    <t>60x25</t>
  </si>
  <si>
    <t>60x28</t>
  </si>
  <si>
    <t>RETRO NOSE</t>
  </si>
  <si>
    <t>Retro Nose 1</t>
  </si>
  <si>
    <t>Retro Nose 2</t>
  </si>
  <si>
    <t>Retro Nose 3</t>
  </si>
  <si>
    <t>Retro Nose 4</t>
  </si>
  <si>
    <t>Retro Nose 5</t>
  </si>
  <si>
    <t>Retro Nose 6</t>
  </si>
  <si>
    <t>Retro Nose 7</t>
  </si>
  <si>
    <t>Retro Nose 8</t>
  </si>
  <si>
    <t>Retro Nose 9</t>
  </si>
  <si>
    <t>Retro Nose 10</t>
  </si>
  <si>
    <t>IL 2654</t>
  </si>
  <si>
    <t>IL 2655</t>
  </si>
  <si>
    <t>IL 2656</t>
  </si>
  <si>
    <t>IL 2657</t>
  </si>
  <si>
    <t>IL 2658</t>
  </si>
  <si>
    <t>IL 2659</t>
  </si>
  <si>
    <t>IL 2660</t>
  </si>
  <si>
    <t>IL 2661</t>
  </si>
  <si>
    <t>IL 2663</t>
  </si>
  <si>
    <t>IL 2664</t>
  </si>
  <si>
    <t>52x35x26</t>
  </si>
  <si>
    <t>50x38x33</t>
  </si>
  <si>
    <t>42x31x26</t>
  </si>
  <si>
    <t>43x37x33</t>
  </si>
  <si>
    <t>37x30x22</t>
  </si>
  <si>
    <t>40x39x32</t>
  </si>
  <si>
    <t>54x48x40</t>
  </si>
  <si>
    <t>42x25,5x27</t>
  </si>
  <si>
    <t>39x37x25</t>
  </si>
  <si>
    <t>42,5x35x25</t>
  </si>
  <si>
    <t>OVAL CONE PINCH</t>
  </si>
  <si>
    <t xml:space="preserve">Oval cone Pinch 1 </t>
  </si>
  <si>
    <t>Oval cone Pinch 2</t>
  </si>
  <si>
    <t>Oval cone Pinch  3</t>
  </si>
  <si>
    <t>Oval cone Pinch 4</t>
  </si>
  <si>
    <t>Oval cone Pinch 5</t>
  </si>
  <si>
    <t>Oval cone Pinch 6</t>
  </si>
  <si>
    <t>Oval cone Pinch 7</t>
  </si>
  <si>
    <t>Oval cone Pinch 8</t>
  </si>
  <si>
    <t>Oval cone Pinch 9</t>
  </si>
  <si>
    <t>Oval cone Pinch 10</t>
  </si>
  <si>
    <t>IL 2693 DT</t>
  </si>
  <si>
    <t>IL 2693</t>
  </si>
  <si>
    <t>IL 2694 DT</t>
  </si>
  <si>
    <t>IL 2694</t>
  </si>
  <si>
    <t>IL 2701 DT</t>
  </si>
  <si>
    <t>IL 2701</t>
  </si>
  <si>
    <t>IL 2702 DT</t>
  </si>
  <si>
    <t>IL 2702</t>
  </si>
  <si>
    <t>IL 2700 DT</t>
  </si>
  <si>
    <t>IL 2700</t>
  </si>
  <si>
    <t>IL 2695 DT</t>
  </si>
  <si>
    <t>IL 2695</t>
  </si>
  <si>
    <t>IL 2696 DT</t>
  </si>
  <si>
    <t>IL 2696</t>
  </si>
  <si>
    <t>IL 2697 DT</t>
  </si>
  <si>
    <t>IL 2697</t>
  </si>
  <si>
    <t>IL 2698 DT</t>
  </si>
  <si>
    <t>IL 2698</t>
  </si>
  <si>
    <t>IL 2699 DT</t>
  </si>
  <si>
    <t>IL 2699</t>
  </si>
  <si>
    <t>SPLOONG PINCH</t>
  </si>
  <si>
    <t>IL2744</t>
  </si>
  <si>
    <t>IL2745</t>
  </si>
  <si>
    <t>IL2746</t>
  </si>
  <si>
    <t>IL2747</t>
  </si>
  <si>
    <t>IL2748</t>
  </si>
  <si>
    <t>IL2749</t>
  </si>
  <si>
    <t>IL2750</t>
  </si>
  <si>
    <t>IL2751</t>
  </si>
  <si>
    <t>IL2752</t>
  </si>
  <si>
    <t>IL2753</t>
  </si>
  <si>
    <t>122x25x17</t>
  </si>
  <si>
    <t>117x25x15</t>
  </si>
  <si>
    <t>105x20x11</t>
  </si>
  <si>
    <t>101x23x11</t>
  </si>
  <si>
    <t>101x25x14</t>
  </si>
  <si>
    <t>98x29x15</t>
  </si>
  <si>
    <t>102x21x12</t>
  </si>
  <si>
    <t>107x20x10</t>
  </si>
  <si>
    <t>102x22x11</t>
  </si>
  <si>
    <t>RAL 1023</t>
  </si>
  <si>
    <t xml:space="preserve">CODE        </t>
  </si>
  <si>
    <t>M</t>
  </si>
  <si>
    <t>L</t>
  </si>
  <si>
    <t>TRIANGLES</t>
  </si>
  <si>
    <t>Crux</t>
  </si>
  <si>
    <t>Storm</t>
  </si>
  <si>
    <t>Nunatak</t>
  </si>
  <si>
    <t>Iceberg</t>
  </si>
  <si>
    <t>Vertigo</t>
  </si>
  <si>
    <t>Spitzkoppe</t>
  </si>
  <si>
    <t>Runout</t>
  </si>
  <si>
    <t>Table Mountain</t>
  </si>
  <si>
    <t>Roraima</t>
  </si>
  <si>
    <t>Manta Left</t>
  </si>
  <si>
    <t>Manta Right</t>
  </si>
  <si>
    <t>Screamer</t>
  </si>
  <si>
    <t>Comet</t>
  </si>
  <si>
    <t>Asteroid</t>
  </si>
  <si>
    <t>Allez</t>
  </si>
  <si>
    <t>Faint</t>
  </si>
  <si>
    <t>Safety first</t>
  </si>
  <si>
    <t>C2101</t>
  </si>
  <si>
    <t>C2102</t>
  </si>
  <si>
    <t>C2103</t>
  </si>
  <si>
    <t>C2104</t>
  </si>
  <si>
    <t>C2105</t>
  </si>
  <si>
    <t>C2106</t>
  </si>
  <si>
    <t>C2107</t>
  </si>
  <si>
    <t>C2108</t>
  </si>
  <si>
    <t>C2109</t>
  </si>
  <si>
    <t>C2110</t>
  </si>
  <si>
    <t>C2111</t>
  </si>
  <si>
    <t>C2164</t>
  </si>
  <si>
    <t>C2165</t>
  </si>
  <si>
    <t>C2119</t>
  </si>
  <si>
    <t>C2120</t>
  </si>
  <si>
    <t>C2121</t>
  </si>
  <si>
    <t>C2122</t>
  </si>
  <si>
    <t>C2140</t>
  </si>
  <si>
    <t>C2141</t>
  </si>
  <si>
    <t>25×25×10</t>
  </si>
  <si>
    <t>30×30×10</t>
  </si>
  <si>
    <t>30×30×15</t>
  </si>
  <si>
    <t>45×45×15</t>
  </si>
  <si>
    <t>45×45×20</t>
  </si>
  <si>
    <t>60×60×20</t>
  </si>
  <si>
    <t>60×60×30</t>
  </si>
  <si>
    <t>90×90×30</t>
  </si>
  <si>
    <t>90×90×20</t>
  </si>
  <si>
    <t>90×90×15</t>
  </si>
  <si>
    <t>60/45/75x15</t>
  </si>
  <si>
    <t>90×60×15</t>
  </si>
  <si>
    <t>60×30×15</t>
  </si>
  <si>
    <t>45×30×15</t>
  </si>
  <si>
    <t>60×60×15</t>
  </si>
  <si>
    <t>90×90×90</t>
  </si>
  <si>
    <t>QUADRANGLES</t>
  </si>
  <si>
    <t>Isis</t>
  </si>
  <si>
    <t>Imothep</t>
  </si>
  <si>
    <t>Cheops</t>
  </si>
  <si>
    <t>Dynamic</t>
  </si>
  <si>
    <t>Epic</t>
  </si>
  <si>
    <t>Butterfly</t>
  </si>
  <si>
    <t>Onsight</t>
  </si>
  <si>
    <t>Shield</t>
  </si>
  <si>
    <t>Kite</t>
  </si>
  <si>
    <t>Twister</t>
  </si>
  <si>
    <t>Blister</t>
  </si>
  <si>
    <t>Rodeo small</t>
  </si>
  <si>
    <t>Rodeo large</t>
  </si>
  <si>
    <t>Rodeo XL</t>
  </si>
  <si>
    <t>Cheese XL</t>
  </si>
  <si>
    <t>Cheese Large</t>
  </si>
  <si>
    <t>Cheese medium1</t>
  </si>
  <si>
    <t>Cheese medium2</t>
  </si>
  <si>
    <t>Tris Large</t>
  </si>
  <si>
    <t>Tris Medium</t>
  </si>
  <si>
    <t>Tris Small</t>
  </si>
  <si>
    <t>C2112</t>
  </si>
  <si>
    <t>C2113</t>
  </si>
  <si>
    <t>C2114</t>
  </si>
  <si>
    <t>C2115</t>
  </si>
  <si>
    <t>C2116</t>
  </si>
  <si>
    <t>C2117</t>
  </si>
  <si>
    <t>C2118</t>
  </si>
  <si>
    <t>C2124</t>
  </si>
  <si>
    <t>C2125</t>
  </si>
  <si>
    <t>C2142</t>
  </si>
  <si>
    <t>C2143</t>
  </si>
  <si>
    <t>C2150</t>
  </si>
  <si>
    <t>C2151</t>
  </si>
  <si>
    <t>C2167</t>
  </si>
  <si>
    <t>C2166</t>
  </si>
  <si>
    <t>C2163</t>
  </si>
  <si>
    <t>C2161</t>
  </si>
  <si>
    <t>C2162</t>
  </si>
  <si>
    <t>C2171</t>
  </si>
  <si>
    <t>C2170</t>
  </si>
  <si>
    <t>C2169</t>
  </si>
  <si>
    <t>45×45×30</t>
  </si>
  <si>
    <t>90×45×20</t>
  </si>
  <si>
    <t>90×45×30</t>
  </si>
  <si>
    <t>90×60×30x15</t>
  </si>
  <si>
    <t>60×45×15</t>
  </si>
  <si>
    <t>60×45×20</t>
  </si>
  <si>
    <t>60×20×15</t>
  </si>
  <si>
    <t>90×30×20</t>
  </si>
  <si>
    <t>150×45×30</t>
  </si>
  <si>
    <t>45×45×11</t>
  </si>
  <si>
    <t>90×53×35/56</t>
  </si>
  <si>
    <t>60×50x20/35</t>
  </si>
  <si>
    <t>45×45x9/20</t>
  </si>
  <si>
    <t>SPECIAL</t>
  </si>
  <si>
    <t>Scorpio</t>
  </si>
  <si>
    <t>Teardrop</t>
  </si>
  <si>
    <t>Rosetta</t>
  </si>
  <si>
    <t>Pentagon comp.</t>
  </si>
  <si>
    <t>Lotos</t>
  </si>
  <si>
    <t>Superstar comp.</t>
  </si>
  <si>
    <t>C2123</t>
  </si>
  <si>
    <t>C2126</t>
  </si>
  <si>
    <t>C2127</t>
  </si>
  <si>
    <t>C2128</t>
  </si>
  <si>
    <t>C2130</t>
  </si>
  <si>
    <t>C2131</t>
  </si>
  <si>
    <t>60x30x20</t>
  </si>
  <si>
    <t>60x30x30x15x15</t>
  </si>
  <si>
    <t>45x45x20</t>
  </si>
  <si>
    <t>60x60x30</t>
  </si>
  <si>
    <t>ASYMETRIC</t>
  </si>
  <si>
    <t>Dragonfly</t>
  </si>
  <si>
    <t>Mosquito</t>
  </si>
  <si>
    <t>Hook</t>
  </si>
  <si>
    <t>Tulip</t>
  </si>
  <si>
    <t>Right Arrow</t>
  </si>
  <si>
    <t>Left Arrow</t>
  </si>
  <si>
    <t>C2144</t>
  </si>
  <si>
    <t>C2145</t>
  </si>
  <si>
    <t>C2146</t>
  </si>
  <si>
    <t>C2147</t>
  </si>
  <si>
    <t>C2148</t>
  </si>
  <si>
    <t>C2149</t>
  </si>
  <si>
    <t>45×30×10</t>
  </si>
  <si>
    <t>90×60×20</t>
  </si>
  <si>
    <t>GIANT</t>
  </si>
  <si>
    <t>Cocoon Slim 1</t>
  </si>
  <si>
    <t>Small slice left 2</t>
  </si>
  <si>
    <t>Small slice right 3</t>
  </si>
  <si>
    <t>Cocoon Fat 1</t>
  </si>
  <si>
    <t>Large slice left 2</t>
  </si>
  <si>
    <t>Large slice right 3</t>
  </si>
  <si>
    <t>Wing</t>
  </si>
  <si>
    <t>C2152</t>
  </si>
  <si>
    <t>C2153</t>
  </si>
  <si>
    <t>C2154</t>
  </si>
  <si>
    <t>C2155</t>
  </si>
  <si>
    <t>C2156</t>
  </si>
  <si>
    <t>C2157</t>
  </si>
  <si>
    <t>C2168</t>
  </si>
  <si>
    <t>57×90×30</t>
  </si>
  <si>
    <t>57×30×30</t>
  </si>
  <si>
    <t>86×90×44</t>
  </si>
  <si>
    <t>180x30x12</t>
  </si>
  <si>
    <t>NCS 1050-B70G</t>
  </si>
  <si>
    <t>INFINITY</t>
  </si>
  <si>
    <t>C2172</t>
  </si>
  <si>
    <t>C2196</t>
  </si>
  <si>
    <t>C2173</t>
  </si>
  <si>
    <t>C2174</t>
  </si>
  <si>
    <t>C2175</t>
  </si>
  <si>
    <t>C2176</t>
  </si>
  <si>
    <t>C2177</t>
  </si>
  <si>
    <t>C2178</t>
  </si>
  <si>
    <t>C2179</t>
  </si>
  <si>
    <t>C2180</t>
  </si>
  <si>
    <t>C2182</t>
  </si>
  <si>
    <t>C2181</t>
  </si>
  <si>
    <t>C2198</t>
  </si>
  <si>
    <t>C2197</t>
  </si>
  <si>
    <t>C2183</t>
  </si>
  <si>
    <t>C2184</t>
  </si>
  <si>
    <t>C2200</t>
  </si>
  <si>
    <t>C2199</t>
  </si>
  <si>
    <t>C2185</t>
  </si>
  <si>
    <t>C2186</t>
  </si>
  <si>
    <t>C2202</t>
  </si>
  <si>
    <t>C2201</t>
  </si>
  <si>
    <t>C2187</t>
  </si>
  <si>
    <t>C2188</t>
  </si>
  <si>
    <t>C2189</t>
  </si>
  <si>
    <t>C2190</t>
  </si>
  <si>
    <t>C2191</t>
  </si>
  <si>
    <t>C2192</t>
  </si>
  <si>
    <t>C2193</t>
  </si>
  <si>
    <t>C2203</t>
  </si>
  <si>
    <t>C2204</t>
  </si>
  <si>
    <t>C2205</t>
  </si>
  <si>
    <t>C2206</t>
  </si>
  <si>
    <t>C2194</t>
  </si>
  <si>
    <t>C2195</t>
  </si>
  <si>
    <t>PACKS</t>
  </si>
  <si>
    <t>Coordination Pack</t>
  </si>
  <si>
    <t>Classic Pack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</si>
  <si>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</si>
  <si>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</si>
  <si>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</si>
  <si>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</si>
  <si>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</si>
  <si>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</si>
  <si>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</si>
  <si>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</si>
  <si>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</si>
  <si>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37,4×44×15,4</t>
  </si>
  <si>
    <t>47,6×56×19,6</t>
  </si>
  <si>
    <t>37,4×44×12,1</t>
  </si>
  <si>
    <t>37,4×44×18,7</t>
  </si>
  <si>
    <t>37,4×18,7×12,1</t>
  </si>
  <si>
    <t>37,4×18,7×15,4</t>
  </si>
  <si>
    <t>37,4×18,7×18,7</t>
  </si>
  <si>
    <t>47,6×23,8x19,6</t>
  </si>
  <si>
    <t>37,4×30,8×15,4</t>
  </si>
  <si>
    <t>47,6x39,2x19,6</t>
  </si>
  <si>
    <t>37,4x41,8x15,4</t>
  </si>
  <si>
    <t>47,6x53,2x19,6</t>
  </si>
  <si>
    <t>37,4x27x15,4</t>
  </si>
  <si>
    <t>47,6x34,3x19,6</t>
  </si>
  <si>
    <t>37,4x55x12,1</t>
  </si>
  <si>
    <t>37,4x55x15,4</t>
  </si>
  <si>
    <t>37,4x55x18,7</t>
  </si>
  <si>
    <t>32,8x34,6x15,4</t>
  </si>
  <si>
    <t>42,9x32,4x15,4</t>
  </si>
  <si>
    <t>60,7x26,4x15,4</t>
  </si>
  <si>
    <t>74,3x18,7x15,4</t>
  </si>
  <si>
    <t>44x41,8x19,6</t>
  </si>
  <si>
    <t>54,6x41,2x19,6</t>
  </si>
  <si>
    <t>77,2x33,7x19,6</t>
  </si>
  <si>
    <t>94,5x23,8x19,6</t>
  </si>
  <si>
    <t>47,6x27,5x19,6</t>
  </si>
  <si>
    <t>55x47,6x19,6</t>
  </si>
  <si>
    <t>Sponges</t>
  </si>
  <si>
    <t>Limestone flakes</t>
  </si>
  <si>
    <t>Pickpockets</t>
  </si>
  <si>
    <t>Footprints</t>
  </si>
  <si>
    <t>Broken pebbles</t>
  </si>
  <si>
    <t>Old pots</t>
  </si>
  <si>
    <t>IL1109</t>
  </si>
  <si>
    <t>IL1113</t>
  </si>
  <si>
    <t>IL1102</t>
  </si>
  <si>
    <t>IL1103</t>
  </si>
  <si>
    <t>IL1111</t>
  </si>
  <si>
    <t>IL1110</t>
  </si>
  <si>
    <t>M, L</t>
  </si>
  <si>
    <t>IL1114</t>
  </si>
  <si>
    <t>IL1115</t>
  </si>
  <si>
    <t>IL1116</t>
  </si>
  <si>
    <t>IL1117</t>
  </si>
  <si>
    <t>Business unit Trzin</t>
  </si>
  <si>
    <t>Planjava 2a</t>
  </si>
  <si>
    <t>1236 Trzin</t>
  </si>
  <si>
    <t>Slovenia (EU)</t>
  </si>
  <si>
    <t>Delivery address:</t>
  </si>
  <si>
    <t>E-mail: info@climbinggymheaven.com</t>
  </si>
  <si>
    <t>E-mail: info@illusion.si</t>
  </si>
  <si>
    <t>E-mail: info@climb1.si</t>
  </si>
  <si>
    <t>Price without VAT</t>
  </si>
  <si>
    <t>ILLUSION INSERT</t>
  </si>
  <si>
    <t>ILLUSION VOLUMES CARBON LOOK</t>
  </si>
  <si>
    <t>COLLECTION</t>
  </si>
  <si>
    <t>RAL 4006</t>
  </si>
  <si>
    <t>RAL 7001</t>
  </si>
  <si>
    <t xml:space="preserve">Trios Octus 45_1 </t>
  </si>
  <si>
    <t xml:space="preserve">Trios Octus 45_2 </t>
  </si>
  <si>
    <t xml:space="preserve">Trios Octus 45_3 </t>
  </si>
  <si>
    <t xml:space="preserve">Trios Octus 45_4 </t>
  </si>
  <si>
    <t xml:space="preserve">Trios Octus 45_5 </t>
  </si>
  <si>
    <t xml:space="preserve">Trios Octus 45_6 </t>
  </si>
  <si>
    <t xml:space="preserve">Trios Octus 45_7 </t>
  </si>
  <si>
    <t xml:space="preserve">Trios Octus 45_8 </t>
  </si>
  <si>
    <t>ButterfyS</t>
  </si>
  <si>
    <t>Oval Cone Pinch 1 DT</t>
  </si>
  <si>
    <t>Oval Cone Pinch 2 DT</t>
  </si>
  <si>
    <t>Oval Cone Pinch 3 DT</t>
  </si>
  <si>
    <t>Oval Cone Pinch 4 DT</t>
  </si>
  <si>
    <t>Oval Cone Pinch 5 DT</t>
  </si>
  <si>
    <t>Oval Cone Pinch 6 DT</t>
  </si>
  <si>
    <t>Oval Cone Pinch 7 DT</t>
  </si>
  <si>
    <t>Oval Cone Pinch 8 DT</t>
  </si>
  <si>
    <t>Oval Cone Pinch 9 DT</t>
  </si>
  <si>
    <t>Oval Cone Pinch 10 DT</t>
  </si>
  <si>
    <t>Blizzard</t>
  </si>
  <si>
    <t>Tornado</t>
  </si>
  <si>
    <t>Pyramide A1</t>
  </si>
  <si>
    <t>Pyramide A4</t>
  </si>
  <si>
    <t>Pyramide B1</t>
  </si>
  <si>
    <t>Pyramide B2</t>
  </si>
  <si>
    <t>Pyramide B3</t>
  </si>
  <si>
    <t>Pyramide B4</t>
  </si>
  <si>
    <t>Pyramide C1</t>
  </si>
  <si>
    <t>Pyramide C2</t>
  </si>
  <si>
    <t>Pyramide C3</t>
  </si>
  <si>
    <t>Pyramide C4</t>
  </si>
  <si>
    <t>Pyramide E1 Left</t>
  </si>
  <si>
    <t>Pyramide E1 Right</t>
  </si>
  <si>
    <t>Pyramide E4 Left</t>
  </si>
  <si>
    <t>Pyramide E4 Right</t>
  </si>
  <si>
    <t>Pyramide F1 Left</t>
  </si>
  <si>
    <t>Pyramide F1 Right</t>
  </si>
  <si>
    <t>Pyramide F4 Left</t>
  </si>
  <si>
    <t>Pyramide F4 Right</t>
  </si>
  <si>
    <t>Pyramide G1 Left</t>
  </si>
  <si>
    <t>Pyramide G1 Right</t>
  </si>
  <si>
    <t>Pyramide G4 Left</t>
  </si>
  <si>
    <t>Pyramide G4 Right</t>
  </si>
  <si>
    <t>Pyramide H1</t>
  </si>
  <si>
    <t>Pyramide H2</t>
  </si>
  <si>
    <t>Pyramide H3</t>
  </si>
  <si>
    <t>Pyramide I1</t>
  </si>
  <si>
    <t>Pyramide I2</t>
  </si>
  <si>
    <t>Pyramide I3</t>
  </si>
  <si>
    <t>Pyramide I4</t>
  </si>
  <si>
    <t>Pyramide I5</t>
  </si>
  <si>
    <t>Pyramide I6</t>
  </si>
  <si>
    <t>Pyramide I7</t>
  </si>
  <si>
    <t>Pyramide I8</t>
  </si>
  <si>
    <t>Pyramide R1</t>
  </si>
  <si>
    <t>Pyramide R2</t>
  </si>
  <si>
    <t>Scarry ghosts</t>
  </si>
  <si>
    <t>Ocean friends</t>
  </si>
  <si>
    <t>Happy vehicles</t>
  </si>
  <si>
    <t>Hungry Jack</t>
  </si>
  <si>
    <t xml:space="preserve"> PRODUCTION CODE        </t>
  </si>
  <si>
    <t>CODE</t>
  </si>
  <si>
    <t>1. WINGS RANGE</t>
  </si>
  <si>
    <t>02. PINCH RANGE</t>
  </si>
  <si>
    <t>03. TRIOS OCTUS</t>
  </si>
  <si>
    <t>05. MANTA</t>
  </si>
  <si>
    <t>ILW.01.01</t>
  </si>
  <si>
    <t>ILW.01.02</t>
  </si>
  <si>
    <t>ILW.01.03</t>
  </si>
  <si>
    <t>ILW.01.04</t>
  </si>
  <si>
    <t>ILW.01.05</t>
  </si>
  <si>
    <t>ILW.01.06</t>
  </si>
  <si>
    <t>ILW.01.07</t>
  </si>
  <si>
    <t>ILW.01.08</t>
  </si>
  <si>
    <t>ILW.01.09</t>
  </si>
  <si>
    <t>ILW.01.10</t>
  </si>
  <si>
    <t>ILW.01.11</t>
  </si>
  <si>
    <t>ILW.01.12</t>
  </si>
  <si>
    <t>ILW.02.01</t>
  </si>
  <si>
    <t>ILW.02.02</t>
  </si>
  <si>
    <t>ILW.02.03</t>
  </si>
  <si>
    <t>ILW.02.04</t>
  </si>
  <si>
    <t>ILW.02.05</t>
  </si>
  <si>
    <t>ILW.02.06</t>
  </si>
  <si>
    <t>ILW.02.07</t>
  </si>
  <si>
    <t>ILW.02.08</t>
  </si>
  <si>
    <t>ILW.03.01</t>
  </si>
  <si>
    <t>ILW.03.02</t>
  </si>
  <si>
    <t>ILW.03.03</t>
  </si>
  <si>
    <t>ILW.03.04</t>
  </si>
  <si>
    <t>ILW.03.05</t>
  </si>
  <si>
    <t>ILW.03.06</t>
  </si>
  <si>
    <t>ILW.03.07</t>
  </si>
  <si>
    <t>ILW.03.08</t>
  </si>
  <si>
    <t>ILW.03.09</t>
  </si>
  <si>
    <t>ILW.03.10</t>
  </si>
  <si>
    <t>ILW.03.11</t>
  </si>
  <si>
    <t>ILW.03.12</t>
  </si>
  <si>
    <t>ILW.03.13</t>
  </si>
  <si>
    <t>ILW.03.14</t>
  </si>
  <si>
    <t>ILW.03.15</t>
  </si>
  <si>
    <t>ILW.03.16</t>
  </si>
  <si>
    <t>ILW.04.01</t>
  </si>
  <si>
    <t>ILW.04.02</t>
  </si>
  <si>
    <t>ILW.04.03</t>
  </si>
  <si>
    <t>ILW.04.05</t>
  </si>
  <si>
    <t>ILW.04.06</t>
  </si>
  <si>
    <t>ILW.04.07</t>
  </si>
  <si>
    <t>ILW.04.08</t>
  </si>
  <si>
    <t>ILW.04.09</t>
  </si>
  <si>
    <t>ILW.04.10</t>
  </si>
  <si>
    <t>ILW.04.11</t>
  </si>
  <si>
    <t>ILW.04.12</t>
  </si>
  <si>
    <t>ILW.04.13</t>
  </si>
  <si>
    <t>ILW.04.14</t>
  </si>
  <si>
    <t>ILW.04.15</t>
  </si>
  <si>
    <t>ILW.04.16</t>
  </si>
  <si>
    <t>ILW.04.17</t>
  </si>
  <si>
    <t>ILW.04.18</t>
  </si>
  <si>
    <t>ILW.04.19</t>
  </si>
  <si>
    <t>ILW.04.20</t>
  </si>
  <si>
    <t>ILW.04.04</t>
  </si>
  <si>
    <t>ILW.05.01</t>
  </si>
  <si>
    <t>ILW.05.02</t>
  </si>
  <si>
    <t>ILW.05.03</t>
  </si>
  <si>
    <t>ILW.05.04</t>
  </si>
  <si>
    <t>ILW.05.06</t>
  </si>
  <si>
    <t>ILW.05.07</t>
  </si>
  <si>
    <t>ILW.05.08</t>
  </si>
  <si>
    <t>ILW.05.09</t>
  </si>
  <si>
    <t>ILW.05.10</t>
  </si>
  <si>
    <t>ILW.05.11</t>
  </si>
  <si>
    <t>ILW.05.12</t>
  </si>
  <si>
    <t>ILW.05.13</t>
  </si>
  <si>
    <t>ILW.05.14</t>
  </si>
  <si>
    <t>ILW.05.15</t>
  </si>
  <si>
    <t>ILW.05.16</t>
  </si>
  <si>
    <t>ILW.05.17</t>
  </si>
  <si>
    <t>ILW.05.18</t>
  </si>
  <si>
    <t>ILW.05.19</t>
  </si>
  <si>
    <t>ILW.05.20</t>
  </si>
  <si>
    <t>ILW.05.21</t>
  </si>
  <si>
    <t>ILW.05.22</t>
  </si>
  <si>
    <t>ILW.05.23</t>
  </si>
  <si>
    <t>ILW.05.24</t>
  </si>
  <si>
    <t>ILW.05.05</t>
  </si>
  <si>
    <t>ILM.01.01</t>
  </si>
  <si>
    <t>ILM.01.02</t>
  </si>
  <si>
    <t>ILM.01.03</t>
  </si>
  <si>
    <t>ILM.01.04</t>
  </si>
  <si>
    <t>ILM.01.05</t>
  </si>
  <si>
    <t>ILM.01.06</t>
  </si>
  <si>
    <t>ILM.02.01</t>
  </si>
  <si>
    <t>ILM.02.02</t>
  </si>
  <si>
    <t>ILM.02.03</t>
  </si>
  <si>
    <t>ILM.02.04</t>
  </si>
  <si>
    <t>ILM.02.05</t>
  </si>
  <si>
    <t>ILM.02.06</t>
  </si>
  <si>
    <t>ILM.03.01</t>
  </si>
  <si>
    <t>ILM.03.02</t>
  </si>
  <si>
    <t>ILM.03.03</t>
  </si>
  <si>
    <t>ILM.03.04</t>
  </si>
  <si>
    <t>ILM.03.05</t>
  </si>
  <si>
    <t>ILM.03.06</t>
  </si>
  <si>
    <t>ILM.03.07</t>
  </si>
  <si>
    <t>ILM.03.09</t>
  </si>
  <si>
    <t>ILM.03.10</t>
  </si>
  <si>
    <t>ILM.03.11</t>
  </si>
  <si>
    <t>ILM.03.08</t>
  </si>
  <si>
    <t>ILM.04.02</t>
  </si>
  <si>
    <t>ILM.04.03</t>
  </si>
  <si>
    <t>ILM.04.04</t>
  </si>
  <si>
    <t>ILM.04.05</t>
  </si>
  <si>
    <t>ILM.04.07</t>
  </si>
  <si>
    <t>ILM.04.08</t>
  </si>
  <si>
    <t>ILM.04.10</t>
  </si>
  <si>
    <t>ILM.04.11</t>
  </si>
  <si>
    <t>ILM.04.09</t>
  </si>
  <si>
    <t>ILM.05.01</t>
  </si>
  <si>
    <t>ILM.05.02</t>
  </si>
  <si>
    <t>ILM.05.03</t>
  </si>
  <si>
    <t>ILM.06.01</t>
  </si>
  <si>
    <t>ILM.06.02</t>
  </si>
  <si>
    <t>ILM.06.03</t>
  </si>
  <si>
    <t>ILM.06.04</t>
  </si>
  <si>
    <t>ILM.06.05</t>
  </si>
  <si>
    <t>ILM.06.06</t>
  </si>
  <si>
    <t>ILM.06.07</t>
  </si>
  <si>
    <t>ILM.06.08</t>
  </si>
  <si>
    <t>ILM.06.09</t>
  </si>
  <si>
    <t>ILM.06.10</t>
  </si>
  <si>
    <t>ILM.06.12</t>
  </si>
  <si>
    <t>ILM.06.11</t>
  </si>
  <si>
    <t>ILM.07.01</t>
  </si>
  <si>
    <t>ILM.07.02</t>
  </si>
  <si>
    <t>ILM.07.03</t>
  </si>
  <si>
    <t>ILM.07.04</t>
  </si>
  <si>
    <t>ILM.07.05</t>
  </si>
  <si>
    <t>ILM.07.06</t>
  </si>
  <si>
    <t>ILM.07.07</t>
  </si>
  <si>
    <t>ILM.07.08</t>
  </si>
  <si>
    <t>ILM.07.09</t>
  </si>
  <si>
    <t>ILM.07.10</t>
  </si>
  <si>
    <t>01. TRIANGLES</t>
  </si>
  <si>
    <t>02. QUADRANGLES</t>
  </si>
  <si>
    <t>03. SPECIAL</t>
  </si>
  <si>
    <t>04. ASYMETRIC</t>
  </si>
  <si>
    <t>05. GIANT</t>
  </si>
  <si>
    <t>02. PACKS</t>
  </si>
  <si>
    <t>01. PYRAMIDES</t>
  </si>
  <si>
    <t>CW.01.01</t>
  </si>
  <si>
    <t>CW.01.02</t>
  </si>
  <si>
    <t>CW.01.03</t>
  </si>
  <si>
    <t>CW.01.04</t>
  </si>
  <si>
    <t>CW.01.05</t>
  </si>
  <si>
    <t>CW.01.06</t>
  </si>
  <si>
    <t>CW.01.07</t>
  </si>
  <si>
    <t>CW.01.08</t>
  </si>
  <si>
    <t>CW.01.09</t>
  </si>
  <si>
    <t>CW.01.10</t>
  </si>
  <si>
    <t>CW.01.11</t>
  </si>
  <si>
    <t>CW.01.12</t>
  </si>
  <si>
    <t>CW.01.13</t>
  </si>
  <si>
    <t>CW.01.14</t>
  </si>
  <si>
    <t>PRODUCTION CODE</t>
  </si>
  <si>
    <t>KL.01.01</t>
  </si>
  <si>
    <t>KL.01.02</t>
  </si>
  <si>
    <t>KL.01.03</t>
  </si>
  <si>
    <t>KL.01.04</t>
  </si>
  <si>
    <t>CW.01.15</t>
  </si>
  <si>
    <t>CW.01.16</t>
  </si>
  <si>
    <t>CW.01.17</t>
  </si>
  <si>
    <t>CW.01.18</t>
  </si>
  <si>
    <t>CW.01.19</t>
  </si>
  <si>
    <t>CW.02.01</t>
  </si>
  <si>
    <t>CW.02.02</t>
  </si>
  <si>
    <t>CW.02.03</t>
  </si>
  <si>
    <t>CW.02.04</t>
  </si>
  <si>
    <t>CW.02.05</t>
  </si>
  <si>
    <t>CW.02.06</t>
  </si>
  <si>
    <t>CW.02.07</t>
  </si>
  <si>
    <t>CW.02.08</t>
  </si>
  <si>
    <t>CW.02.09</t>
  </si>
  <si>
    <t>CW.02.10</t>
  </si>
  <si>
    <t>CW.02.11</t>
  </si>
  <si>
    <t>CW.02.12</t>
  </si>
  <si>
    <t>CW.02.13</t>
  </si>
  <si>
    <t>CW.02.14</t>
  </si>
  <si>
    <t>CW.02.15</t>
  </si>
  <si>
    <t>CW.02.16</t>
  </si>
  <si>
    <t>CW.02.17</t>
  </si>
  <si>
    <t>CW.02.18</t>
  </si>
  <si>
    <t>CW.02.19</t>
  </si>
  <si>
    <t>CW.02.20</t>
  </si>
  <si>
    <t>CW.02.21</t>
  </si>
  <si>
    <t>CW.03.01</t>
  </si>
  <si>
    <t>CW.03.02</t>
  </si>
  <si>
    <t>CW.03.03</t>
  </si>
  <si>
    <t>CW.03.04</t>
  </si>
  <si>
    <t>CW.03.05</t>
  </si>
  <si>
    <t>CW.03.06</t>
  </si>
  <si>
    <t>CW.04.01</t>
  </si>
  <si>
    <t>CW.04.02</t>
  </si>
  <si>
    <t>CW.04.03</t>
  </si>
  <si>
    <t>CW.04.04</t>
  </si>
  <si>
    <t>CW.04.05</t>
  </si>
  <si>
    <t>CW.04.06</t>
  </si>
  <si>
    <t>CW.05.01</t>
  </si>
  <si>
    <t>CW.05.02</t>
  </si>
  <si>
    <t>CW.05.03</t>
  </si>
  <si>
    <t>CW.05.04</t>
  </si>
  <si>
    <t>CW.05.05</t>
  </si>
  <si>
    <t>CW.05.06</t>
  </si>
  <si>
    <t>CW.05.07</t>
  </si>
  <si>
    <t xml:space="preserve">SUM sets by colour  </t>
  </si>
  <si>
    <t>TOTAL ORDER</t>
  </si>
  <si>
    <t>ILW_ILLUSION WOOD</t>
  </si>
  <si>
    <t>ILM_ILLUSION MACROS</t>
  </si>
  <si>
    <t>CW_CLIMB 1 WOOD</t>
  </si>
  <si>
    <t>CWL_CLIMB WELL LINE</t>
  </si>
  <si>
    <t>KL_KIDZ LINE</t>
  </si>
  <si>
    <t>CWL.01.04</t>
  </si>
  <si>
    <t>CWL.01.05</t>
  </si>
  <si>
    <t>CWL.01.07</t>
  </si>
  <si>
    <t>CWL.01.10</t>
  </si>
  <si>
    <t>CWL.01.12</t>
  </si>
  <si>
    <t>CWL.01.14</t>
  </si>
  <si>
    <t>ALL COLOURS</t>
  </si>
  <si>
    <t>ORDER BREAKDOWN</t>
  </si>
  <si>
    <t>11. RETRO NOSE</t>
  </si>
  <si>
    <t>12. OVAL CONE PINCH</t>
  </si>
  <si>
    <t>ILM.03.12</t>
  </si>
  <si>
    <t>ILM.03.13</t>
  </si>
  <si>
    <t>ILM.08.01</t>
  </si>
  <si>
    <t>ILM.08.02</t>
  </si>
  <si>
    <t>ILM.08.03</t>
  </si>
  <si>
    <t>ILM.08.04</t>
  </si>
  <si>
    <t>ILM.08.05</t>
  </si>
  <si>
    <t>ILM.08.06</t>
  </si>
  <si>
    <t>ILM.08.07</t>
  </si>
  <si>
    <t>ILM.08.08</t>
  </si>
  <si>
    <t>ILM.08.09</t>
  </si>
  <si>
    <t>ILM.08.10</t>
  </si>
  <si>
    <t>ILM.09.01</t>
  </si>
  <si>
    <t>ILM.09.02</t>
  </si>
  <si>
    <t>ILM.09.03</t>
  </si>
  <si>
    <t>ILM.09.04</t>
  </si>
  <si>
    <t>ILM.09.05</t>
  </si>
  <si>
    <t>ILM.10.01</t>
  </si>
  <si>
    <t>ILM.10.02</t>
  </si>
  <si>
    <t>ILM.10.03</t>
  </si>
  <si>
    <t>ILM.10.04</t>
  </si>
  <si>
    <t>ILM.10.05</t>
  </si>
  <si>
    <t>ILM.10.06</t>
  </si>
  <si>
    <t>ILM.10.07</t>
  </si>
  <si>
    <t>ILM.10.08</t>
  </si>
  <si>
    <t>ILM.10.09</t>
  </si>
  <si>
    <t>ILM.10.10</t>
  </si>
  <si>
    <t>ILM.11.01</t>
  </si>
  <si>
    <t>ILM.11.02</t>
  </si>
  <si>
    <t>ILM.11.03</t>
  </si>
  <si>
    <t>ILM.11.04</t>
  </si>
  <si>
    <t>ILM.11.05</t>
  </si>
  <si>
    <t>ILM.11.06</t>
  </si>
  <si>
    <t>ILM.11.07</t>
  </si>
  <si>
    <t>ILM.11.08</t>
  </si>
  <si>
    <t>ILM.11.09</t>
  </si>
  <si>
    <t>ILM.11.10</t>
  </si>
  <si>
    <t>ILM.12.01</t>
  </si>
  <si>
    <t>ILM.12.02</t>
  </si>
  <si>
    <t>ILM.12.03</t>
  </si>
  <si>
    <t>ILM.12.04</t>
  </si>
  <si>
    <t>ILM.12.05</t>
  </si>
  <si>
    <t>ILM.12.06</t>
  </si>
  <si>
    <t>ILM.12.07</t>
  </si>
  <si>
    <t>ILM.12.08</t>
  </si>
  <si>
    <t>ILM.12.09</t>
  </si>
  <si>
    <t>ILM.12.10</t>
  </si>
  <si>
    <t>ILM.13.01</t>
  </si>
  <si>
    <t>ILM.13.02</t>
  </si>
  <si>
    <t>ILM.13.03</t>
  </si>
  <si>
    <t>ILM.13.04</t>
  </si>
  <si>
    <t>ILM.13.05</t>
  </si>
  <si>
    <t>ILM.13.06</t>
  </si>
  <si>
    <t>ILM.13.07</t>
  </si>
  <si>
    <t>ILM.13.08</t>
  </si>
  <si>
    <t>ILM.13.09</t>
  </si>
  <si>
    <t>ILM.13.10</t>
  </si>
  <si>
    <t>Custom made colour (7% add price)</t>
  </si>
  <si>
    <t>Izohypse 1</t>
  </si>
  <si>
    <t>Izohypse 2</t>
  </si>
  <si>
    <t>Izohypse 3</t>
  </si>
  <si>
    <t>Izohypse 4</t>
  </si>
  <si>
    <t>Izohypse 5</t>
  </si>
  <si>
    <t>Izohypse 6</t>
  </si>
  <si>
    <t>Izohypse 1 DT</t>
  </si>
  <si>
    <t>Izohypse 2 DT</t>
  </si>
  <si>
    <t>Izohypse 3 DT</t>
  </si>
  <si>
    <t>Izohypse 4 DT</t>
  </si>
  <si>
    <t>Izohypse 5 DT</t>
  </si>
  <si>
    <t>Izohypse 6 DT</t>
  </si>
  <si>
    <t>INW.01.01</t>
  </si>
  <si>
    <t>INW.01.02</t>
  </si>
  <si>
    <t>INW.01.03</t>
  </si>
  <si>
    <t>INW.01.04</t>
  </si>
  <si>
    <t>INW.01.05</t>
  </si>
  <si>
    <t>INW.01.06</t>
  </si>
  <si>
    <t>INW.01.07</t>
  </si>
  <si>
    <t>INW.01.08</t>
  </si>
  <si>
    <t>INW.01.09</t>
  </si>
  <si>
    <t>INW.01.10</t>
  </si>
  <si>
    <t>INW.01.11</t>
  </si>
  <si>
    <t>INW.01.12</t>
  </si>
  <si>
    <t>INW.01.13</t>
  </si>
  <si>
    <t>INW.01.14</t>
  </si>
  <si>
    <t>INW.01.15</t>
  </si>
  <si>
    <t>INW.01.16</t>
  </si>
  <si>
    <t>INW.01.17</t>
  </si>
  <si>
    <t>INW.01.18</t>
  </si>
  <si>
    <t>INW.01.19</t>
  </si>
  <si>
    <t>INW.01.20</t>
  </si>
  <si>
    <t>INW.01.21</t>
  </si>
  <si>
    <t>INW.01.22</t>
  </si>
  <si>
    <t>INW.01.23</t>
  </si>
  <si>
    <t>INW.01.24</t>
  </si>
  <si>
    <t>INW.01.25</t>
  </si>
  <si>
    <t>INW.01.26</t>
  </si>
  <si>
    <t>INW.01.27</t>
  </si>
  <si>
    <t>INW.01.28</t>
  </si>
  <si>
    <t>INW.01.29</t>
  </si>
  <si>
    <t>INW.01.30</t>
  </si>
  <si>
    <t>INW.01.31</t>
  </si>
  <si>
    <t>INW.01.32</t>
  </si>
  <si>
    <t>INW.01.33</t>
  </si>
  <si>
    <t>INW.01.34</t>
  </si>
  <si>
    <t>INW.01.35</t>
  </si>
  <si>
    <t>INW.02.01</t>
  </si>
  <si>
    <t>INW.02.02</t>
  </si>
  <si>
    <t>INW.02.03</t>
  </si>
  <si>
    <t>INW.02.04</t>
  </si>
  <si>
    <t>INW.02.05</t>
  </si>
  <si>
    <t>INW.02.06</t>
  </si>
  <si>
    <t>INW.02.07</t>
  </si>
  <si>
    <t>INW.02.08</t>
  </si>
  <si>
    <t>INW.02.09</t>
  </si>
  <si>
    <t xml:space="preserve">          S</t>
  </si>
  <si>
    <t xml:space="preserve">          M</t>
  </si>
  <si>
    <t xml:space="preserve">          L</t>
  </si>
  <si>
    <t xml:space="preserve">          XL</t>
  </si>
  <si>
    <t>Total order without VAT (discount included)</t>
  </si>
  <si>
    <t>WOOD</t>
  </si>
  <si>
    <t>MACROS</t>
  </si>
  <si>
    <t>HOLDS</t>
  </si>
  <si>
    <t xml:space="preserve">     SIZE</t>
  </si>
  <si>
    <t>TOTAL DISCOUNT</t>
  </si>
  <si>
    <t>13. OVAL CONE PINCH DT</t>
  </si>
  <si>
    <t>ILM.14.01</t>
  </si>
  <si>
    <t>ILM.14.02</t>
  </si>
  <si>
    <t>ILM.14.03</t>
  </si>
  <si>
    <t>ILM.14.04</t>
  </si>
  <si>
    <t>ILM.14.05</t>
  </si>
  <si>
    <t>ILM.14.06</t>
  </si>
  <si>
    <t>ILM.14.07</t>
  </si>
  <si>
    <t>ILM.14.08</t>
  </si>
  <si>
    <t>ILM.14.09</t>
  </si>
  <si>
    <t>ILM.14.10</t>
  </si>
  <si>
    <t>IL 2620 DT</t>
  </si>
  <si>
    <t>IL 2621 DT</t>
  </si>
  <si>
    <t>IL 2622 DT</t>
  </si>
  <si>
    <t>IL 2623 DT</t>
  </si>
  <si>
    <t>IL 2625 DT</t>
  </si>
  <si>
    <t>IL 2626 DT</t>
  </si>
  <si>
    <t>IL 2627 DT</t>
  </si>
  <si>
    <t>IL 2628 DT</t>
  </si>
  <si>
    <t>IL 2629 DT</t>
  </si>
  <si>
    <t>IL 2630 DT</t>
  </si>
  <si>
    <t>IL 2631 DT</t>
  </si>
  <si>
    <t>ILM.04.12</t>
  </si>
  <si>
    <t>ILM.04.13</t>
  </si>
  <si>
    <t xml:space="preserve">          M, L</t>
  </si>
  <si>
    <t>INW_INFINITY WOOD</t>
  </si>
  <si>
    <t>TOTAL NUMBER OF</t>
  </si>
  <si>
    <t>TOTAL ORDER without DISCOUNT</t>
  </si>
  <si>
    <t>PROMOTIONAL PRICE</t>
  </si>
  <si>
    <t>TOTAL PROMOTIONAL PRICE</t>
  </si>
  <si>
    <t>DISCOUNT per piece [%]</t>
  </si>
  <si>
    <t>DISCOUNT per piece [EUR]</t>
  </si>
  <si>
    <t>04. ButterflyS</t>
  </si>
  <si>
    <t>Butterfly 1 L</t>
  </si>
  <si>
    <t>Butterfly 1 R</t>
  </si>
  <si>
    <t>Butterfly 2 L</t>
  </si>
  <si>
    <t>Butterfly 2 R</t>
  </si>
  <si>
    <t>Butterfly 3 L</t>
  </si>
  <si>
    <t>Butterfly 3 R</t>
  </si>
  <si>
    <t>Butterfly 4 L</t>
  </si>
  <si>
    <t>Butterfly 4 R</t>
  </si>
  <si>
    <t>Butterfly 5 L</t>
  </si>
  <si>
    <t>Butterfly 5 R</t>
  </si>
  <si>
    <t>Butterfly 6 L</t>
  </si>
  <si>
    <t>Butterfly 6 R</t>
  </si>
  <si>
    <t>Butterfly 7 L</t>
  </si>
  <si>
    <t>Butterfly 7 R</t>
  </si>
  <si>
    <t>Butterfly 8 L</t>
  </si>
  <si>
    <t>Butterfly 8 R</t>
  </si>
  <si>
    <t>Butterfly 9 L</t>
  </si>
  <si>
    <t>Butterfly 9 R</t>
  </si>
  <si>
    <t>Butterfly 10 L</t>
  </si>
  <si>
    <t>Butterfly 10 R</t>
  </si>
  <si>
    <t>14. SPLOONG</t>
  </si>
  <si>
    <t>Sploong 1</t>
  </si>
  <si>
    <t>Sploong 2</t>
  </si>
  <si>
    <t>Sploong 3</t>
  </si>
  <si>
    <t>Sploong 4</t>
  </si>
  <si>
    <t>Sploong 5</t>
  </si>
  <si>
    <t>Sploong 6</t>
  </si>
  <si>
    <t>Sploong 7</t>
  </si>
  <si>
    <t>Sploong 8</t>
  </si>
  <si>
    <t>Sploong 9</t>
  </si>
  <si>
    <t>Sploong 10</t>
  </si>
  <si>
    <t>PCS</t>
  </si>
  <si>
    <t>Colour of GLOSS for DT</t>
  </si>
  <si>
    <t>MEGA</t>
  </si>
  <si>
    <t>INH.03.18</t>
  </si>
  <si>
    <t>Grisinni 18</t>
  </si>
  <si>
    <t>10 + 11 + 12</t>
  </si>
  <si>
    <t>INH.03.17</t>
  </si>
  <si>
    <t>Grisinni 17</t>
  </si>
  <si>
    <t>9 + 16</t>
  </si>
  <si>
    <t>XXL</t>
  </si>
  <si>
    <t>INH.03.16</t>
  </si>
  <si>
    <t>Grisinni 16</t>
  </si>
  <si>
    <t>INH.03.15</t>
  </si>
  <si>
    <t>Grisinni 15</t>
  </si>
  <si>
    <t>XL</t>
  </si>
  <si>
    <t>INH.03.14</t>
  </si>
  <si>
    <t>Grisinni 14</t>
  </si>
  <si>
    <t>INH.03.13</t>
  </si>
  <si>
    <t>Grisinni 13</t>
  </si>
  <si>
    <t>INH.03.12</t>
  </si>
  <si>
    <t>Grisinni 12</t>
  </si>
  <si>
    <t>INH.03.11</t>
  </si>
  <si>
    <t>Grisinni 11</t>
  </si>
  <si>
    <t>INH.03.10</t>
  </si>
  <si>
    <t>Grisinni 10</t>
  </si>
  <si>
    <t>INH.03.09</t>
  </si>
  <si>
    <t>Grisinni 9</t>
  </si>
  <si>
    <t>INH.03.08</t>
  </si>
  <si>
    <t>Grisinni 8</t>
  </si>
  <si>
    <t>INH.03.07</t>
  </si>
  <si>
    <t>Grisinni 7</t>
  </si>
  <si>
    <t>INH.03.06</t>
  </si>
  <si>
    <t>Grisinni 6</t>
  </si>
  <si>
    <t>INH.03.05</t>
  </si>
  <si>
    <t>Grisinni 5</t>
  </si>
  <si>
    <t>INH.03.04</t>
  </si>
  <si>
    <t>Grisinni 4</t>
  </si>
  <si>
    <t>S</t>
  </si>
  <si>
    <t>INH.03.03</t>
  </si>
  <si>
    <t>Grisinni 3</t>
  </si>
  <si>
    <t>XS</t>
  </si>
  <si>
    <t>INH.03.02</t>
  </si>
  <si>
    <t>Grisinni 2</t>
  </si>
  <si>
    <t>INH.03.01</t>
  </si>
  <si>
    <t>Grisinni 1</t>
  </si>
  <si>
    <t>03. GRISINNI</t>
  </si>
  <si>
    <t>INH.02.12</t>
  </si>
  <si>
    <t>Road kill 12</t>
  </si>
  <si>
    <t>INH.02.11</t>
  </si>
  <si>
    <t>Road kill 11</t>
  </si>
  <si>
    <t>INH.02.10</t>
  </si>
  <si>
    <t>Road kill 10</t>
  </si>
  <si>
    <t>INH.02.09</t>
  </si>
  <si>
    <t>Road kill 9</t>
  </si>
  <si>
    <t>INH.02.07</t>
  </si>
  <si>
    <t>Road kill 7</t>
  </si>
  <si>
    <t>INH.02.06</t>
  </si>
  <si>
    <t>Road kill 6</t>
  </si>
  <si>
    <t>INH.02.05</t>
  </si>
  <si>
    <t>Road kill 5</t>
  </si>
  <si>
    <t>INH.02.04</t>
  </si>
  <si>
    <t>Road kill 4</t>
  </si>
  <si>
    <t>INH.02.03</t>
  </si>
  <si>
    <t>Road kill 3</t>
  </si>
  <si>
    <t>INH.02.02</t>
  </si>
  <si>
    <t>Road kill 2</t>
  </si>
  <si>
    <t>INH.02.01</t>
  </si>
  <si>
    <t>Road kill 1</t>
  </si>
  <si>
    <t>02. ROAD KILL</t>
  </si>
  <si>
    <t>INH.01.13</t>
  </si>
  <si>
    <t>Chocolate hills 13</t>
  </si>
  <si>
    <t>INH.01.12</t>
  </si>
  <si>
    <t>Chocolate hills 12</t>
  </si>
  <si>
    <t>INH.01.11</t>
  </si>
  <si>
    <t>Chocolate hills 11</t>
  </si>
  <si>
    <t>INH.01.10</t>
  </si>
  <si>
    <t>Chocolate hills 10</t>
  </si>
  <si>
    <t>INH.01.09</t>
  </si>
  <si>
    <t>Chocolate hills 9</t>
  </si>
  <si>
    <t>INH.01.08</t>
  </si>
  <si>
    <t>Chocolate hills 8</t>
  </si>
  <si>
    <t>INH.01.07</t>
  </si>
  <si>
    <t>Chocolate hills 7</t>
  </si>
  <si>
    <t>INH.01.06</t>
  </si>
  <si>
    <t>Chocolate hills 6</t>
  </si>
  <si>
    <t>INH.01.05</t>
  </si>
  <si>
    <t>Chocolate hills 5</t>
  </si>
  <si>
    <t>INH.01.04</t>
  </si>
  <si>
    <t>Chocolate hills 4</t>
  </si>
  <si>
    <t>INH.01.03</t>
  </si>
  <si>
    <t>Chocolate hills 3</t>
  </si>
  <si>
    <t>INH.01.02</t>
  </si>
  <si>
    <t>Chocolate hills 2</t>
  </si>
  <si>
    <t>INH.01.01</t>
  </si>
  <si>
    <t>Chocolate hills 1</t>
  </si>
  <si>
    <t>01. CHOCOLATE HILLS</t>
  </si>
  <si>
    <t>Size</t>
  </si>
  <si>
    <t>INH_INFINITY HOLDS</t>
  </si>
  <si>
    <t xml:space="preserve">          XS</t>
  </si>
  <si>
    <t xml:space="preserve">         MEGA</t>
  </si>
  <si>
    <t xml:space="preserve">         XXL</t>
  </si>
  <si>
    <t>ILM.15.01</t>
  </si>
  <si>
    <t>ILM.15.02</t>
  </si>
  <si>
    <t>ILM.15.03</t>
  </si>
  <si>
    <t>ILM.15.04</t>
  </si>
  <si>
    <t>ILM.15.05</t>
  </si>
  <si>
    <t>ILM.15.06</t>
  </si>
  <si>
    <t>ILM.15.07</t>
  </si>
  <si>
    <t>ILM.15.08</t>
  </si>
  <si>
    <t>ILM.15.09</t>
  </si>
  <si>
    <t>ILM.15.10</t>
  </si>
  <si>
    <t>03. PICO</t>
  </si>
  <si>
    <t>Pico 1</t>
  </si>
  <si>
    <t>Pico 2</t>
  </si>
  <si>
    <t>Pico 3</t>
  </si>
  <si>
    <t>Pico 4</t>
  </si>
  <si>
    <t>Pico 5</t>
  </si>
  <si>
    <t>Pico 6</t>
  </si>
  <si>
    <t>Pico 7</t>
  </si>
  <si>
    <t>Pico 8</t>
  </si>
  <si>
    <t>Pico 9</t>
  </si>
  <si>
    <t>Pico 10</t>
  </si>
  <si>
    <t>Pico 11</t>
  </si>
  <si>
    <t>Pico 12</t>
  </si>
  <si>
    <t>Pico 13</t>
  </si>
  <si>
    <t>Pico 2 DT</t>
  </si>
  <si>
    <t>Pico 3 DT</t>
  </si>
  <si>
    <t>Pico 4 DT</t>
  </si>
  <si>
    <t>Pico 5 DT</t>
  </si>
  <si>
    <t>Pico 7 DT</t>
  </si>
  <si>
    <t>Pico 8 DT</t>
  </si>
  <si>
    <t>Pico 9 DT</t>
  </si>
  <si>
    <t>Pico 10 DT</t>
  </si>
  <si>
    <t>Pico 11 DT</t>
  </si>
  <si>
    <t>Pico 12 DT</t>
  </si>
  <si>
    <t>Pico 13 DT</t>
  </si>
  <si>
    <t>04. PICO DT</t>
  </si>
  <si>
    <t>05. BEANBAG</t>
  </si>
  <si>
    <t>06. CONFUSION</t>
  </si>
  <si>
    <t>Confusion 1</t>
  </si>
  <si>
    <t>Confusion 2</t>
  </si>
  <si>
    <t>Confusion 3</t>
  </si>
  <si>
    <t>Confusion 4</t>
  </si>
  <si>
    <t>Confusion 5</t>
  </si>
  <si>
    <t>Confusion 6</t>
  </si>
  <si>
    <t>Confusion 7</t>
  </si>
  <si>
    <t>Confusion 8</t>
  </si>
  <si>
    <t>Confusion 9</t>
  </si>
  <si>
    <t>Confusion 10</t>
  </si>
  <si>
    <t>Confusion 11</t>
  </si>
  <si>
    <t>Confusion 12</t>
  </si>
  <si>
    <t>07. OASIS</t>
  </si>
  <si>
    <t>Oasis 1</t>
  </si>
  <si>
    <t>Oasis 2</t>
  </si>
  <si>
    <t>Oasis 3</t>
  </si>
  <si>
    <t>Oasis 4</t>
  </si>
  <si>
    <t>Oasis 5</t>
  </si>
  <si>
    <t>Oasis 6</t>
  </si>
  <si>
    <t>Oasis 7</t>
  </si>
  <si>
    <t>Oasis 8</t>
  </si>
  <si>
    <t>Oasis 9</t>
  </si>
  <si>
    <t>Oasis 10</t>
  </si>
  <si>
    <t>Oasis 1 DT</t>
  </si>
  <si>
    <t>Oasis 2 DT</t>
  </si>
  <si>
    <t>Oasis 3 DT</t>
  </si>
  <si>
    <t>Oasis 4 DT</t>
  </si>
  <si>
    <t>Oasis 5 DT</t>
  </si>
  <si>
    <t>Oasis 6 DT</t>
  </si>
  <si>
    <t>Oasis 7 DT</t>
  </si>
  <si>
    <t>Oasis 8 DT</t>
  </si>
  <si>
    <t>Oasis 9 DT</t>
  </si>
  <si>
    <t>Oasis 10 DT</t>
  </si>
  <si>
    <t>08. OASIS DT</t>
  </si>
  <si>
    <t>09. CON CAVE</t>
  </si>
  <si>
    <t>15. RIVA</t>
  </si>
  <si>
    <t>10. RIVA DT</t>
  </si>
  <si>
    <t>16. NOCTURNAL</t>
  </si>
  <si>
    <t>Nocturnal 1</t>
  </si>
  <si>
    <t>Nocturnal 2</t>
  </si>
  <si>
    <t>Nocturnal 3</t>
  </si>
  <si>
    <t>Nocturnal 4</t>
  </si>
  <si>
    <t>Nocturnal 5</t>
  </si>
  <si>
    <t>Nocturnal 6</t>
  </si>
  <si>
    <t>Nocturnal 7</t>
  </si>
  <si>
    <t>Nocturnal 8</t>
  </si>
  <si>
    <t>Nocturnal 9</t>
  </si>
  <si>
    <t>Nocturnal 10</t>
  </si>
  <si>
    <t>Nocturnal 11</t>
  </si>
  <si>
    <t>Nocturnal 12</t>
  </si>
  <si>
    <t>ILM.16.01</t>
  </si>
  <si>
    <t>ILM.16.02</t>
  </si>
  <si>
    <t>ILM.16.03</t>
  </si>
  <si>
    <t>ILM.16.04</t>
  </si>
  <si>
    <t>ILM.16.05</t>
  </si>
  <si>
    <t>ILM.16.06</t>
  </si>
  <si>
    <t>ILM.16.07</t>
  </si>
  <si>
    <t>ILM.16.08</t>
  </si>
  <si>
    <t>ILM.16.09</t>
  </si>
  <si>
    <t>ILM.16.10</t>
  </si>
  <si>
    <t>ILM.16.11</t>
  </si>
  <si>
    <t>ILM.16.12</t>
  </si>
  <si>
    <t>Riva 1</t>
  </si>
  <si>
    <t>Riva 2</t>
  </si>
  <si>
    <t>Riva 3</t>
  </si>
  <si>
    <t>Riva 4</t>
  </si>
  <si>
    <t>Riva 5</t>
  </si>
  <si>
    <t>Riva 6</t>
  </si>
  <si>
    <t>Riva 7</t>
  </si>
  <si>
    <t>Riva 8</t>
  </si>
  <si>
    <t>Riva 9</t>
  </si>
  <si>
    <t>Riva 10</t>
  </si>
  <si>
    <t>Riva 1 DT</t>
  </si>
  <si>
    <t>Riva 2 DT</t>
  </si>
  <si>
    <t>Riva 3 DT</t>
  </si>
  <si>
    <t>Riva 4 DT</t>
  </si>
  <si>
    <t>Riva 5 DT</t>
  </si>
  <si>
    <t>Riva 6 DT</t>
  </si>
  <si>
    <t>Riva 7 DT</t>
  </si>
  <si>
    <t>Riva 8 DT</t>
  </si>
  <si>
    <t>Riva 9 DT</t>
  </si>
  <si>
    <t>Riva 10 DT</t>
  </si>
  <si>
    <t>Con Cave 1</t>
  </si>
  <si>
    <t>Con Cave 2</t>
  </si>
  <si>
    <t>Con Cave 3</t>
  </si>
  <si>
    <t>Con Cave 4</t>
  </si>
  <si>
    <t>Con Cave 5</t>
  </si>
  <si>
    <t>Beanbag 1</t>
  </si>
  <si>
    <t>Beanbag 2</t>
  </si>
  <si>
    <t>Beanbag 3</t>
  </si>
  <si>
    <t>6. FUSION</t>
  </si>
  <si>
    <t>Fusion 1</t>
  </si>
  <si>
    <t>Fusion 2</t>
  </si>
  <si>
    <t>ILW.06.01</t>
  </si>
  <si>
    <t>Fusion 3</t>
  </si>
  <si>
    <t>Fusion 4</t>
  </si>
  <si>
    <t>Fusion 5</t>
  </si>
  <si>
    <t>Fusion 6</t>
  </si>
  <si>
    <t>Fusion 7</t>
  </si>
  <si>
    <t>Fusion 8</t>
  </si>
  <si>
    <t>Fusion 9</t>
  </si>
  <si>
    <t>Fusion 10</t>
  </si>
  <si>
    <t>Fusion 11</t>
  </si>
  <si>
    <t>Fusion 12</t>
  </si>
  <si>
    <t>Fusion 13</t>
  </si>
  <si>
    <t>Fusion 14</t>
  </si>
  <si>
    <t>Fusion 15</t>
  </si>
  <si>
    <t>Fusion 16</t>
  </si>
  <si>
    <t>Fusion 17</t>
  </si>
  <si>
    <t>Fusion 18</t>
  </si>
  <si>
    <t>ILW.06.02</t>
  </si>
  <si>
    <t>ILW.06.03</t>
  </si>
  <si>
    <t>ILW.06.04</t>
  </si>
  <si>
    <t>ILW.06.05</t>
  </si>
  <si>
    <t>ILW.06.06</t>
  </si>
  <si>
    <t>ILW.06.07</t>
  </si>
  <si>
    <t>ILW.06.08</t>
  </si>
  <si>
    <t>ILW.06.09</t>
  </si>
  <si>
    <t>ILW.06.10</t>
  </si>
  <si>
    <t>ILW.06.11</t>
  </si>
  <si>
    <t>ILW.06.12</t>
  </si>
  <si>
    <t>ILW.06.13</t>
  </si>
  <si>
    <t>ILW.06.14</t>
  </si>
  <si>
    <t>ILW.06.15</t>
  </si>
  <si>
    <t>ILW.06.16</t>
  </si>
  <si>
    <t>ILW.06.17</t>
  </si>
  <si>
    <t>ILW.06.18</t>
  </si>
  <si>
    <t>6. PACKS</t>
  </si>
  <si>
    <t>CW.06.01</t>
  </si>
  <si>
    <t>CW.06.02</t>
  </si>
  <si>
    <t>INW.02.10</t>
  </si>
  <si>
    <t>INW.02.11</t>
  </si>
  <si>
    <t>INW.02.12</t>
  </si>
  <si>
    <t>INW.02.13</t>
  </si>
  <si>
    <t>INW.02.14</t>
  </si>
  <si>
    <t>37x25x8</t>
  </si>
  <si>
    <t>50x24x7</t>
  </si>
  <si>
    <t>43x30x12</t>
  </si>
  <si>
    <t>47x23x11</t>
  </si>
  <si>
    <t>56x29x14</t>
  </si>
  <si>
    <t>62x29x16</t>
  </si>
  <si>
    <t>65x45x13</t>
  </si>
  <si>
    <t>69x26x13</t>
  </si>
  <si>
    <t>82x30x13</t>
  </si>
  <si>
    <t>85x34x16</t>
  </si>
  <si>
    <t>70x42x22</t>
  </si>
  <si>
    <t>111x33x21</t>
  </si>
  <si>
    <t>166x153x46</t>
  </si>
  <si>
    <t>135x117x22</t>
  </si>
  <si>
    <t>110x92x29</t>
  </si>
  <si>
    <t>68x85x23</t>
  </si>
  <si>
    <t>127x90x20</t>
  </si>
  <si>
    <t>81x78x19</t>
  </si>
  <si>
    <t>130x101x28</t>
  </si>
  <si>
    <t>105x71x19</t>
  </si>
  <si>
    <t>75x59x14</t>
  </si>
  <si>
    <t>100x110x30</t>
  </si>
  <si>
    <t>52x72x19</t>
  </si>
  <si>
    <t>100x72x19</t>
  </si>
  <si>
    <t>37x62x14</t>
  </si>
  <si>
    <t>100x62x14</t>
  </si>
  <si>
    <t>67x110x30</t>
  </si>
  <si>
    <t>01. IZOHYPSE</t>
  </si>
  <si>
    <t>02. IZOHYPSE DT</t>
  </si>
  <si>
    <t>04. RUNNING OYSTERS</t>
  </si>
  <si>
    <t>Running Oysters 1</t>
  </si>
  <si>
    <t>INH.04.01</t>
  </si>
  <si>
    <t xml:space="preserve">S </t>
  </si>
  <si>
    <t>Running Oysters 2</t>
  </si>
  <si>
    <t>INH.04.02</t>
  </si>
  <si>
    <t>Running Oysters 3</t>
  </si>
  <si>
    <t>INH.04.03</t>
  </si>
  <si>
    <t>Running Oysters 4</t>
  </si>
  <si>
    <t>INH.04.04</t>
  </si>
  <si>
    <t>Running Oysters 5</t>
  </si>
  <si>
    <t>INH.04.05</t>
  </si>
  <si>
    <t>Running Oysters 6</t>
  </si>
  <si>
    <t>INH.04.06</t>
  </si>
  <si>
    <t>Running Oysters 7</t>
  </si>
  <si>
    <t>INH.04.07</t>
  </si>
  <si>
    <t>Running Oysters 8</t>
  </si>
  <si>
    <t>INH.04.08</t>
  </si>
  <si>
    <t>Running Oysters 9</t>
  </si>
  <si>
    <t>INH.04.09</t>
  </si>
  <si>
    <t>Running Oysters 13</t>
  </si>
  <si>
    <t>INH.04.13</t>
  </si>
  <si>
    <t>M+L</t>
  </si>
  <si>
    <t>IL 2734 DT</t>
  </si>
  <si>
    <t>IL 2735 DT</t>
  </si>
  <si>
    <t>IL 2736 DT</t>
  </si>
  <si>
    <t>IL 2737 DT</t>
  </si>
  <si>
    <t>IL 2738 DT</t>
  </si>
  <si>
    <t>IL 2739 DT</t>
  </si>
  <si>
    <t>IL 2740 DT</t>
  </si>
  <si>
    <t>IL 2741 DT</t>
  </si>
  <si>
    <t>IL 2742 DT</t>
  </si>
  <si>
    <t>IL 2743 DT</t>
  </si>
  <si>
    <t>IL 2735</t>
  </si>
  <si>
    <t>IL 2734</t>
  </si>
  <si>
    <t>IL 2736</t>
  </si>
  <si>
    <t>IL 2737</t>
  </si>
  <si>
    <t>IL 2738</t>
  </si>
  <si>
    <t>IL 2739</t>
  </si>
  <si>
    <t>IL 2740</t>
  </si>
  <si>
    <t>IL 2741</t>
  </si>
  <si>
    <t>IL 2742</t>
  </si>
  <si>
    <t>IL 2743</t>
  </si>
  <si>
    <t>IL 2619</t>
  </si>
  <si>
    <t xml:space="preserve">NEON PINK </t>
  </si>
  <si>
    <t>NEON YELLOW</t>
  </si>
  <si>
    <t>NEON GREEN</t>
  </si>
  <si>
    <t>NEON ORANGE</t>
  </si>
  <si>
    <t>NEON ORANHE</t>
  </si>
  <si>
    <t>NEON
PINK</t>
  </si>
  <si>
    <t>NEON
GREEN</t>
  </si>
  <si>
    <t xml:space="preserve">SUM PCS by colour  </t>
  </si>
  <si>
    <t>CST</t>
  </si>
  <si>
    <t>Phone: +386 (0)41 953 855</t>
  </si>
  <si>
    <t>TOTAL PCS</t>
  </si>
  <si>
    <t>Chocolate hills 14</t>
  </si>
  <si>
    <t>INH.01.14</t>
  </si>
  <si>
    <t>Rabbit Holes 2</t>
  </si>
  <si>
    <t>Rabbit Holes 1</t>
  </si>
  <si>
    <t>Rabbit Holes 3</t>
  </si>
  <si>
    <t>Rabbit Holes 4</t>
  </si>
  <si>
    <t>Rabbit Holes 5</t>
  </si>
  <si>
    <t>Rabbit Holes 6</t>
  </si>
  <si>
    <t>Rabbit Holes 7</t>
  </si>
  <si>
    <t>Rabbit Holes 8</t>
  </si>
  <si>
    <t>Rabbit Holes 9</t>
  </si>
  <si>
    <t>Rabbit Holes 10</t>
  </si>
  <si>
    <t>Rabbit Holes 11</t>
  </si>
  <si>
    <t>Rabbit Holes 12</t>
  </si>
  <si>
    <t>Rabbit Holes 13</t>
  </si>
  <si>
    <t>Rabbit Holes 14</t>
  </si>
  <si>
    <t>INH.05.01</t>
  </si>
  <si>
    <t>INH.05.02</t>
  </si>
  <si>
    <t>INH.05.03</t>
  </si>
  <si>
    <t>INH.05.04</t>
  </si>
  <si>
    <t>INH.05.05</t>
  </si>
  <si>
    <t>INH.05.06</t>
  </si>
  <si>
    <t>INH.05.07</t>
  </si>
  <si>
    <t>INH.05.08</t>
  </si>
  <si>
    <t>INH.05.09</t>
  </si>
  <si>
    <t>INH.05.10</t>
  </si>
  <si>
    <t>INH.05.11</t>
  </si>
  <si>
    <t>INH.05.12</t>
  </si>
  <si>
    <t>INH.05.13</t>
  </si>
  <si>
    <t>INH.05.14</t>
  </si>
  <si>
    <t xml:space="preserve">TOTAL DISCOUNT (in %) </t>
  </si>
  <si>
    <t>05. RABBIT HOLES</t>
  </si>
  <si>
    <t>CLEAR 
WOOD</t>
  </si>
  <si>
    <t>8. POINT BREAK</t>
  </si>
  <si>
    <t>ILW 07.01. DT</t>
  </si>
  <si>
    <t>ILW 07.02. DT</t>
  </si>
  <si>
    <t>ILW 07.03. DT</t>
  </si>
  <si>
    <t>ILW 07.04. DT</t>
  </si>
  <si>
    <t>ILW 07.05. DT</t>
  </si>
  <si>
    <t>ILW 07.06. DT</t>
  </si>
  <si>
    <t>ILW 07.07. DT</t>
  </si>
  <si>
    <t>ILW 07.08. DT</t>
  </si>
  <si>
    <t>ILW 07.09. DT</t>
  </si>
  <si>
    <t>ILW 08.01.</t>
  </si>
  <si>
    <t>ILW 08.02.</t>
  </si>
  <si>
    <t>ILW 08.03.</t>
  </si>
  <si>
    <t>ILW 08.04. DT</t>
  </si>
  <si>
    <t>ILW 08.05. DT</t>
  </si>
  <si>
    <t>ILW 08.06. DT</t>
  </si>
  <si>
    <t>ILW 08.07. DT</t>
  </si>
  <si>
    <t>ILW 08.08. DT</t>
  </si>
  <si>
    <t>ILW 08.09. DT</t>
  </si>
  <si>
    <t>ILW 08.10. DT</t>
  </si>
  <si>
    <t>ILW 08.11. DT</t>
  </si>
  <si>
    <t>ILW 08.12. DT</t>
  </si>
  <si>
    <t>Summit squad 1 DT</t>
  </si>
  <si>
    <t>Summit squad 2 DT</t>
  </si>
  <si>
    <t>Point break 1</t>
  </si>
  <si>
    <t>Point break 2</t>
  </si>
  <si>
    <t>Point break 3</t>
  </si>
  <si>
    <t>Point break 4 DT</t>
  </si>
  <si>
    <t>Point break 5 DT</t>
  </si>
  <si>
    <t>Point break 6 DT</t>
  </si>
  <si>
    <t>Point break 7 DT</t>
  </si>
  <si>
    <t>Point break 8 DT</t>
  </si>
  <si>
    <t>Point break 9 DT</t>
  </si>
  <si>
    <t>Point break 10 DT</t>
  </si>
  <si>
    <t>Point break 11 DT</t>
  </si>
  <si>
    <t>Point break 12 DT</t>
  </si>
  <si>
    <t>7. SUMMIT SQUAD (DT)</t>
  </si>
  <si>
    <t>153x144x25</t>
  </si>
  <si>
    <t>116x109x19</t>
  </si>
  <si>
    <t>Summit squad 3 DT</t>
  </si>
  <si>
    <t>Summit squad 4 DT</t>
  </si>
  <si>
    <t>Summit squad 5 DT</t>
  </si>
  <si>
    <t>Summit squad 6 DT</t>
  </si>
  <si>
    <t>Summit squad 7 DT</t>
  </si>
  <si>
    <t>Summit squad 8 DT</t>
  </si>
  <si>
    <t>Summit squad 9 DT</t>
  </si>
  <si>
    <t>78x78x14</t>
  </si>
  <si>
    <t>159x104x35</t>
  </si>
  <si>
    <t>123x80x27</t>
  </si>
  <si>
    <t>86x56x19</t>
  </si>
  <si>
    <t>38x44x10</t>
  </si>
  <si>
    <t>60x70x17</t>
  </si>
  <si>
    <t>75x87x22</t>
  </si>
  <si>
    <t>66x104x12</t>
  </si>
  <si>
    <t>63x117x25</t>
  </si>
  <si>
    <t>44x116x15</t>
  </si>
  <si>
    <t>101x160x22</t>
  </si>
  <si>
    <t>95x175x37</t>
  </si>
  <si>
    <t>72x174x22</t>
  </si>
  <si>
    <t>127x200x27</t>
  </si>
  <si>
    <t>120x221x47</t>
  </si>
  <si>
    <t>91x219x29</t>
  </si>
  <si>
    <t>Amforas</t>
  </si>
  <si>
    <t>CWL.01.11</t>
  </si>
  <si>
    <t>Limestone mushrooms</t>
  </si>
  <si>
    <t>CWL.01.02</t>
  </si>
  <si>
    <t>Cookie jars</t>
  </si>
  <si>
    <t>CWL.01.03</t>
  </si>
  <si>
    <t>Tea cups</t>
  </si>
  <si>
    <t>CWL.01.06</t>
  </si>
  <si>
    <t>Coffe jugs</t>
  </si>
  <si>
    <t>CWL.01.08</t>
  </si>
  <si>
    <t>17. NOCTURNAL PINCH</t>
  </si>
  <si>
    <t>ILM.17.1.</t>
  </si>
  <si>
    <t>Nocturnal Pinch  1</t>
  </si>
  <si>
    <t>47x25x13</t>
  </si>
  <si>
    <t>ILM.17.2.</t>
  </si>
  <si>
    <t>Nocturnal Pinch  2</t>
  </si>
  <si>
    <t>48x28x12</t>
  </si>
  <si>
    <t>ILM.17.3.</t>
  </si>
  <si>
    <t>Nocturnal Pinch  3</t>
  </si>
  <si>
    <t>57x31x18</t>
  </si>
  <si>
    <t>ILM.17.4.</t>
  </si>
  <si>
    <t>Nocturnal Pinch  4</t>
  </si>
  <si>
    <t>59x30x14</t>
  </si>
  <si>
    <t>ILM.17.5.</t>
  </si>
  <si>
    <t>Nocturnal Pinch  5</t>
  </si>
  <si>
    <t>60x35x18</t>
  </si>
  <si>
    <t>ILM.17.6.</t>
  </si>
  <si>
    <t>Nocturnal Pinch  6</t>
  </si>
  <si>
    <t>63x28x16</t>
  </si>
  <si>
    <t>ILM.17.7.</t>
  </si>
  <si>
    <t>Nocturnal Pinch  7</t>
  </si>
  <si>
    <t>60x39x16</t>
  </si>
  <si>
    <t>ILM.17.8.</t>
  </si>
  <si>
    <t>Nocturnal Pinch  8</t>
  </si>
  <si>
    <t>68x43x15</t>
  </si>
  <si>
    <t>ILM.17.9.</t>
  </si>
  <si>
    <t>Nocturnal Pinch  9</t>
  </si>
  <si>
    <t>71x44x21</t>
  </si>
  <si>
    <t>ILM.17.10.</t>
  </si>
  <si>
    <t>Nocturnal Pinch  10</t>
  </si>
  <si>
    <t>78x51x22</t>
  </si>
  <si>
    <t>Shards</t>
  </si>
  <si>
    <t>Lonely Boulders</t>
  </si>
  <si>
    <t>06. RABBIT HOLES DT</t>
  </si>
  <si>
    <t>INH.06.02</t>
  </si>
  <si>
    <t>INH.06.03</t>
  </si>
  <si>
    <t>INH.06.04</t>
  </si>
  <si>
    <t>INH.06.05</t>
  </si>
  <si>
    <t>INH.06.06</t>
  </si>
  <si>
    <t>INH.06.07</t>
  </si>
  <si>
    <t>INH.06.08</t>
  </si>
  <si>
    <t>INH.06.09</t>
  </si>
  <si>
    <t>INH.06.10</t>
  </si>
  <si>
    <t>INH.06.11</t>
  </si>
  <si>
    <t>INH.06.12</t>
  </si>
  <si>
    <t>INH.06.13</t>
  </si>
  <si>
    <t>INH.06.14</t>
  </si>
  <si>
    <t>Rabbit Holes 2 DT</t>
  </si>
  <si>
    <t>Rabbit Holes 3 DT</t>
  </si>
  <si>
    <t>Rabbit Holes 4 DT</t>
  </si>
  <si>
    <t>Rabbit Holes 5 DT</t>
  </si>
  <si>
    <t>Rabbit Holes 6 DT</t>
  </si>
  <si>
    <t>Rabbit Holes 7 DT</t>
  </si>
  <si>
    <t>Rabbit Holes 8 DT</t>
  </si>
  <si>
    <t>Rabbit Holes 9 DT</t>
  </si>
  <si>
    <t>Rabbit Holes 10 DT</t>
  </si>
  <si>
    <t>Rabbit Holes 11 DT</t>
  </si>
  <si>
    <t>Rabbit Holes 12 DT</t>
  </si>
  <si>
    <t>Rabbit Holes 13 DT</t>
  </si>
  <si>
    <t>Rabbit Holes 14 DT</t>
  </si>
  <si>
    <t>07. U-GRIP</t>
  </si>
  <si>
    <t>INH.07.01</t>
  </si>
  <si>
    <t>INH.07.02</t>
  </si>
  <si>
    <t>INH.07.03</t>
  </si>
  <si>
    <t>INH.07.04</t>
  </si>
  <si>
    <t>INH.07.05</t>
  </si>
  <si>
    <t>INH.07.06</t>
  </si>
  <si>
    <t>INH.07.07</t>
  </si>
  <si>
    <t>INH.07.08</t>
  </si>
  <si>
    <t>INH.07.09</t>
  </si>
  <si>
    <t>INH.07.10</t>
  </si>
  <si>
    <t>INH.07.11</t>
  </si>
  <si>
    <t>U-Grip 1</t>
  </si>
  <si>
    <t>U-Grip 2</t>
  </si>
  <si>
    <t>U-Grip 3</t>
  </si>
  <si>
    <t>U-Grip 4</t>
  </si>
  <si>
    <t>U-Grip 5</t>
  </si>
  <si>
    <t>U-Grip 6</t>
  </si>
  <si>
    <t>U-Grip 7</t>
  </si>
  <si>
    <t>U-Grip 8</t>
  </si>
  <si>
    <t>U-Grip 9</t>
  </si>
  <si>
    <t>U-Grip 10</t>
  </si>
  <si>
    <t>U-Grip 11</t>
  </si>
  <si>
    <t>U-Grip 12</t>
  </si>
  <si>
    <t>INH.07.12</t>
  </si>
  <si>
    <t>CWL.01.09</t>
  </si>
  <si>
    <t>CWL.01.13</t>
  </si>
  <si>
    <t>Dough Jugs</t>
  </si>
  <si>
    <t>CWL.01.01</t>
  </si>
  <si>
    <t>Rabbit Holes 1 DT</t>
  </si>
  <si>
    <t>INH.06.01</t>
  </si>
  <si>
    <t>IL1118</t>
  </si>
  <si>
    <t>Crazy Zoo</t>
  </si>
  <si>
    <t>KL.01.05</t>
  </si>
  <si>
    <t>M,L</t>
  </si>
  <si>
    <t>IL1100</t>
  </si>
  <si>
    <t>IL1104</t>
  </si>
  <si>
    <t>IL1112</t>
  </si>
  <si>
    <t>IL1108</t>
  </si>
  <si>
    <t>IL1107</t>
  </si>
  <si>
    <t>IL1106</t>
  </si>
  <si>
    <t>IL1105</t>
  </si>
  <si>
    <t>IL1101</t>
  </si>
  <si>
    <t>Juggy Joe</t>
  </si>
  <si>
    <t>CWL.01.15</t>
  </si>
  <si>
    <t>03. TANGRAM</t>
  </si>
  <si>
    <t>INW.03.00</t>
  </si>
  <si>
    <t>INW.03.08</t>
  </si>
  <si>
    <t>Clear Wood</t>
  </si>
  <si>
    <t>Essentials 1</t>
  </si>
  <si>
    <t>Essentials 2</t>
  </si>
  <si>
    <t>INH.00.01</t>
  </si>
  <si>
    <t>INH.00.02</t>
  </si>
  <si>
    <t xml:space="preserve">NEW ! </t>
  </si>
  <si>
    <r>
      <t xml:space="preserve">00. ESSENTIALS                                                                                       </t>
    </r>
    <r>
      <rPr>
        <b/>
        <sz val="12"/>
        <color rgb="FFFF0000"/>
        <rFont val="Calibri"/>
        <family val="2"/>
        <charset val="238"/>
        <scheme val="minor"/>
      </rPr>
      <t>NEW!</t>
    </r>
  </si>
  <si>
    <t>PE PRODUCTS</t>
  </si>
  <si>
    <t>PU PRODUCTS</t>
  </si>
  <si>
    <t>CWL.01.16</t>
  </si>
  <si>
    <t>PCS BY PACKS</t>
  </si>
  <si>
    <t>Basic Pack (10 PCS)</t>
  </si>
  <si>
    <t>Arrow Pack (12 PCS)</t>
  </si>
  <si>
    <t>Connection Pack (10 PCS)</t>
  </si>
  <si>
    <t>Snake Pack (9 PCS)</t>
  </si>
  <si>
    <t>Long Pack (9 PCS)</t>
  </si>
  <si>
    <t>Puzzle Pack MINI (21 PCS)</t>
  </si>
  <si>
    <t>Puzzle Pack MEGA (21 PCS)</t>
  </si>
  <si>
    <t>Discovery Pack (4 PCS)</t>
  </si>
  <si>
    <t>Cosmic Pack (4 PCS)</t>
  </si>
  <si>
    <t>Adventure Pack (4 PCS)</t>
  </si>
  <si>
    <t>Mystic Pack (5 PCS)</t>
  </si>
  <si>
    <t>Rocket Pack (4 PCS)</t>
  </si>
  <si>
    <t>B Pack (4 PCS)</t>
  </si>
  <si>
    <t>Tangram Pack XL (7 PCS)</t>
  </si>
  <si>
    <t>Tangram Pack S (7 PCS)</t>
  </si>
  <si>
    <t>PCS Total</t>
  </si>
  <si>
    <t>18. DELUSION</t>
  </si>
  <si>
    <t>ILM.18.1.</t>
  </si>
  <si>
    <t>Delusion 1</t>
  </si>
  <si>
    <t>33×16×10</t>
  </si>
  <si>
    <t>ILM.18.2.</t>
  </si>
  <si>
    <t>Delusion 2</t>
  </si>
  <si>
    <t>39×14×9</t>
  </si>
  <si>
    <t>ILM.18.3.</t>
  </si>
  <si>
    <t>Delusion 3</t>
  </si>
  <si>
    <t>41×19×9</t>
  </si>
  <si>
    <t>ILM.18.4.</t>
  </si>
  <si>
    <t>Delusion 4</t>
  </si>
  <si>
    <t>41×17×12</t>
  </si>
  <si>
    <t>ILM.18.5.</t>
  </si>
  <si>
    <t>Delusion 5</t>
  </si>
  <si>
    <t>42×18×11</t>
  </si>
  <si>
    <t>ILM.18.6.</t>
  </si>
  <si>
    <t>Delusion 6</t>
  </si>
  <si>
    <t>43×19×11</t>
  </si>
  <si>
    <t>ILM.18.7.</t>
  </si>
  <si>
    <t>Delusion 7</t>
  </si>
  <si>
    <t>43×21×8</t>
  </si>
  <si>
    <t>ILM.18.8.</t>
  </si>
  <si>
    <t>Delusion 8</t>
  </si>
  <si>
    <t>47×19×8</t>
  </si>
  <si>
    <t>ILM.18.9.</t>
  </si>
  <si>
    <t>Delusion 9</t>
  </si>
  <si>
    <t>50×34×18</t>
  </si>
  <si>
    <t>ILM.18.10.</t>
  </si>
  <si>
    <t>Delusion 10</t>
  </si>
  <si>
    <t>ILM.18.10</t>
  </si>
  <si>
    <t>52×18×10</t>
  </si>
  <si>
    <t>ILM.18.11.</t>
  </si>
  <si>
    <t>Delusion 11</t>
  </si>
  <si>
    <t>58×29×19</t>
  </si>
  <si>
    <t>ILM.18.12.</t>
  </si>
  <si>
    <t>Delusion 12</t>
  </si>
  <si>
    <t>63×33×20</t>
  </si>
  <si>
    <t>ILM.18.13.</t>
  </si>
  <si>
    <t>Delusion 13</t>
  </si>
  <si>
    <t>74×32×30</t>
  </si>
  <si>
    <t>08. GRIP TEASE</t>
  </si>
  <si>
    <t>INH.08.01</t>
  </si>
  <si>
    <t>NEW !</t>
  </si>
  <si>
    <t>Grip Tease 1 DT</t>
  </si>
  <si>
    <t>Running Pack (9 PCS)</t>
  </si>
  <si>
    <t>Brand</t>
  </si>
  <si>
    <t>Material</t>
  </si>
  <si>
    <t>Increase</t>
  </si>
  <si>
    <t>ILLUSION WOOD</t>
  </si>
  <si>
    <t>INFINITY PU</t>
  </si>
  <si>
    <t>CLIMBWELL</t>
  </si>
  <si>
    <t>CLIMB1</t>
  </si>
  <si>
    <t>ILLUSION MARCO</t>
  </si>
  <si>
    <t>INFINITY WOOD</t>
  </si>
  <si>
    <t>KIDZ LINE</t>
  </si>
  <si>
    <t>PU</t>
  </si>
  <si>
    <t>PE</t>
  </si>
  <si>
    <t>FIBERGLASS</t>
  </si>
  <si>
    <t>NEW PRICE</t>
  </si>
  <si>
    <t xml:space="preserve"> OLD PRICE</t>
  </si>
  <si>
    <t>OLD PRICE</t>
  </si>
  <si>
    <t>CHOOSE COLOR</t>
  </si>
  <si>
    <t>EURCAD_Rate</t>
  </si>
  <si>
    <t>CAD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</si>
</sst>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 * #,##0.00_)\ &quot;€&quot;_ ;_ * \(#,##0.00\)\ &quot;€&quot;_ ;_ * &quot;-&quot;??_)\ &quot;€&quot;_ ;_ @_ "/>
    <numFmt numFmtId="165" formatCode="#,##0.00\ &quot;€&quot;"/>
    <numFmt numFmtId="166" formatCode="_-* #,##0.00\ [$€-424]_-;\-* #,##0.00\ [$€-424]_-;_-* &quot;-&quot;??\ [$€-424]_-;_-@_-"/>
    <numFmt numFmtId="167" formatCode="#,##0.00\ [$CAD]"/>
  </numFmts>
  <fonts count="49" x14ac:knownFonts="1">
    <font>
      <sz val="11"/>
      <color theme="1"/>
      <name val="Calibri"/>
      <family val="2"/>
      <charset val="238"/>
      <scheme val="minor"/>
    </font>
    <font>
      <sz val="11"/>
      <color theme="1"/>
      <name val="Arial Nova Cond"/>
      <family val="2"/>
    </font>
    <font>
      <b/>
      <sz val="11"/>
      <color theme="1"/>
      <name val="Arial Nova Cond"/>
      <family val="2"/>
    </font>
    <font>
      <sz val="11"/>
      <name val="Arial Nova Cond"/>
      <family val="2"/>
    </font>
    <font>
      <sz val="10"/>
      <name val="Arial Nova Cond"/>
      <family val="2"/>
    </font>
    <font>
      <sz val="10"/>
      <color theme="1"/>
      <name val="Arial Nova Cond"/>
      <family val="2"/>
    </font>
    <font>
      <sz val="11"/>
      <color theme="1"/>
      <name val="Calibri"/>
      <family val="2"/>
      <scheme val="minor"/>
    </font>
    <font>
      <b/>
      <sz val="10"/>
      <color theme="1"/>
      <name val="Arial Nova Cond"/>
      <family val="2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Arial Nova Cond"/>
      <family val="2"/>
      <charset val="238"/>
    </font>
    <font>
      <sz val="12"/>
      <color theme="1"/>
      <name val="Arial Nova Cond"/>
      <family val="2"/>
      <charset val="238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0"/>
      <name val="Arial Nova Cond"/>
      <family val="2"/>
    </font>
    <font>
      <b/>
      <sz val="8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8"/>
      <name val="Calibri"/>
      <family val="2"/>
      <charset val="238"/>
      <scheme val="minor"/>
    </font>
    <font>
      <u/>
      <sz val="8"/>
      <color theme="1"/>
      <name val="Calibri"/>
      <family val="2"/>
      <charset val="238"/>
      <scheme val="minor"/>
    </font>
    <font>
      <b/>
      <sz val="8"/>
      <name val="Arial Nova Cond"/>
      <family val="2"/>
    </font>
    <font>
      <sz val="8"/>
      <color theme="1"/>
      <name val="Calibri"/>
      <family val="2"/>
      <charset val="238"/>
    </font>
    <font>
      <sz val="8"/>
      <color rgb="FFFFA3A3"/>
      <name val="Calibri"/>
      <family val="2"/>
      <charset val="238"/>
      <scheme val="minor"/>
    </font>
    <font>
      <b/>
      <sz val="8"/>
      <color rgb="FFFFA3A3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2"/>
      <color theme="1"/>
      <name val="Arial Nova Cond"/>
      <family val="2"/>
    </font>
    <font>
      <b/>
      <sz val="12"/>
      <color theme="1"/>
      <name val="Arial Nova Cond"/>
      <family val="2"/>
    </font>
    <font>
      <sz val="12"/>
      <name val="Arial Nova Cond"/>
      <family val="2"/>
    </font>
    <font>
      <b/>
      <sz val="12"/>
      <name val="Arial Nova Cond"/>
      <family val="2"/>
    </font>
    <font>
      <b/>
      <sz val="20"/>
      <name val="Arial Nova Cond"/>
      <family val="2"/>
    </font>
    <font>
      <sz val="11"/>
      <color theme="0"/>
      <name val="Arial Nova Cond"/>
      <family val="2"/>
    </font>
    <font>
      <b/>
      <sz val="8"/>
      <color theme="0"/>
      <name val="Arial Nova Cond"/>
      <family val="2"/>
    </font>
    <font>
      <sz val="8"/>
      <color theme="1"/>
      <name val="Arial Nova Cond"/>
      <family val="2"/>
    </font>
    <font>
      <u/>
      <sz val="8"/>
      <color theme="2" tint="-0.749992370372631"/>
      <name val="Calibri"/>
      <family val="2"/>
      <charset val="238"/>
      <scheme val="minor"/>
    </font>
    <font>
      <sz val="8"/>
      <color rgb="FF040C28"/>
      <name val="Calibri"/>
      <family val="2"/>
      <charset val="238"/>
    </font>
    <font>
      <b/>
      <sz val="8"/>
      <color theme="0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8"/>
      <color rgb="FFE55E33"/>
      <name val="Calibri"/>
      <family val="2"/>
      <charset val="238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497"/>
        <bgColor indexed="64"/>
      </patternFill>
    </fill>
    <fill>
      <patternFill patternType="solid">
        <fgColor rgb="FFFDA97B"/>
        <bgColor indexed="64"/>
      </patternFill>
    </fill>
    <fill>
      <patternFill patternType="solid">
        <fgColor rgb="FFD3B1D1"/>
        <bgColor indexed="64"/>
      </patternFill>
    </fill>
    <fill>
      <patternFill patternType="solid">
        <fgColor rgb="FFBFDEA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10F0"/>
        <bgColor indexed="64"/>
      </patternFill>
    </fill>
    <fill>
      <patternFill patternType="solid">
        <fgColor rgb="FF39FF14"/>
        <bgColor indexed="64"/>
      </patternFill>
    </fill>
    <fill>
      <patternFill patternType="solid">
        <fgColor rgb="FFFF5D1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E4C9AE"/>
        <bgColor indexed="64"/>
      </patternFill>
    </fill>
    <fill>
      <patternFill patternType="solid">
        <fgColor rgb="FFCD9B69"/>
        <bgColor indexed="64"/>
      </patternFill>
    </fill>
    <fill>
      <patternFill patternType="solid">
        <fgColor rgb="FFF7B500"/>
        <bgColor indexed="64"/>
      </patternFill>
    </fill>
    <fill>
      <patternFill patternType="solid">
        <fgColor rgb="FFE65300"/>
        <bgColor indexed="64"/>
      </patternFill>
    </fill>
    <fill>
      <patternFill patternType="solid">
        <fgColor rgb="FFB81B0E"/>
        <bgColor indexed="64"/>
      </patternFill>
    </fill>
    <fill>
      <patternFill patternType="solid">
        <fgColor rgb="FFA03472"/>
        <bgColor indexed="64"/>
      </patternFill>
    </fill>
    <fill>
      <patternFill patternType="solid">
        <fgColor rgb="FF0B7BB0"/>
        <bgColor indexed="64"/>
      </patternFill>
    </fill>
    <fill>
      <patternFill patternType="solid">
        <fgColor rgb="FF599A39"/>
        <bgColor indexed="64"/>
      </patternFill>
    </fill>
    <fill>
      <patternFill patternType="solid">
        <fgColor rgb="FFF0ECE1"/>
        <bgColor indexed="64"/>
      </patternFill>
    </fill>
    <fill>
      <patternFill patternType="solid">
        <fgColor rgb="FF8B959A"/>
        <bgColor indexed="64"/>
      </patternFill>
    </fill>
    <fill>
      <patternFill patternType="solid">
        <fgColor rgb="FF42464B"/>
        <bgColor indexed="64"/>
      </patternFill>
    </fill>
    <fill>
      <patternFill patternType="solid">
        <fgColor rgb="FF0A0A0A"/>
        <bgColor indexed="64"/>
      </patternFill>
    </fill>
    <fill>
      <patternFill patternType="solid">
        <fgColor rgb="FFFFFF33"/>
        <bgColor indexed="64"/>
      </patternFill>
    </fill>
    <fill>
      <patternFill patternType="solid">
        <fgColor rgb="FFFF5F1F"/>
        <bgColor indexed="64"/>
      </patternFill>
    </fill>
    <fill>
      <patternFill patternType="solid">
        <fgColor rgb="FFE55E33"/>
        <bgColor indexed="64"/>
      </patternFill>
    </fill>
    <fill>
      <patternFill patternType="solid">
        <fgColor rgb="FFBE3B37"/>
        <bgColor indexed="64"/>
      </patternFill>
    </fill>
    <fill>
      <patternFill patternType="solid">
        <fgColor rgb="FF0083B4"/>
        <bgColor indexed="64"/>
      </patternFill>
    </fill>
    <fill>
      <patternFill patternType="solid">
        <fgColor rgb="FF699E4B"/>
        <bgColor indexed="64"/>
      </patternFill>
    </fill>
    <fill>
      <patternFill patternType="solid">
        <fgColor rgb="FF54575C"/>
        <bgColor indexed="64"/>
      </patternFill>
    </fill>
    <fill>
      <patternFill patternType="solid">
        <fgColor rgb="FF858C90"/>
        <bgColor indexed="64"/>
      </patternFill>
    </fill>
    <fill>
      <patternFill patternType="solid">
        <fgColor rgb="FFFFDE21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/>
      <bottom/>
      <diagonal/>
    </border>
    <border>
      <left/>
      <right/>
      <top style="medium">
        <color theme="1" tint="0.499984740745262"/>
      </top>
      <bottom style="thin">
        <color theme="0" tint="-0.499984740745262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rgb="FF000000"/>
      </right>
      <top style="medium">
        <color theme="1" tint="0.499984740745262"/>
      </top>
      <bottom/>
      <diagonal/>
    </border>
    <border>
      <left style="thin">
        <color indexed="64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rgb="FF000000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n">
        <color theme="1"/>
      </right>
      <top style="thick">
        <color theme="1"/>
      </top>
      <bottom style="thick">
        <color theme="1"/>
      </bottom>
      <diagonal/>
    </border>
    <border>
      <left/>
      <right style="thin">
        <color indexed="64"/>
      </right>
      <top style="medium">
        <color indexed="64"/>
      </top>
      <bottom style="thick">
        <color theme="1"/>
      </bottom>
      <diagonal/>
    </border>
    <border>
      <left style="thin">
        <color theme="4"/>
      </left>
      <right/>
      <top style="thin">
        <color indexed="64"/>
      </top>
      <bottom/>
      <diagonal/>
    </border>
    <border>
      <left style="thin">
        <color theme="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theme="1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9">
    <xf numFmtId="0" fontId="0" fillId="0" borderId="0"/>
    <xf numFmtId="0" fontId="6" fillId="0" borderId="0"/>
    <xf numFmtId="0" fontId="8" fillId="0" borderId="0"/>
    <xf numFmtId="16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16" fillId="24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</cellStyleXfs>
  <cellXfs count="580">
    <xf numFmtId="0" fontId="0" fillId="0" borderId="0" xfId="0"/>
    <xf numFmtId="0" fontId="1" fillId="0" borderId="0" xfId="0" applyFont="1" applyProtection="1">
      <protection locked="0"/>
    </xf>
    <xf numFmtId="166" fontId="3" fillId="2" borderId="0" xfId="0" applyNumberFormat="1" applyFont="1" applyFill="1" applyAlignment="1" applyProtection="1">
      <alignment vertical="center"/>
      <protection locked="0"/>
    </xf>
    <xf numFmtId="166" fontId="1" fillId="9" borderId="0" xfId="0" applyNumberFormat="1" applyFont="1" applyFill="1" applyAlignment="1" applyProtection="1">
      <alignment vertical="center"/>
      <protection locked="0"/>
    </xf>
    <xf numFmtId="0" fontId="9" fillId="0" borderId="0" xfId="0" applyFont="1"/>
    <xf numFmtId="0" fontId="2" fillId="3" borderId="1" xfId="0" applyFont="1" applyFill="1" applyBorder="1" applyAlignment="1" applyProtection="1">
      <alignment horizontal="center" wrapText="1"/>
      <protection locked="0"/>
    </xf>
    <xf numFmtId="0" fontId="10" fillId="0" borderId="2" xfId="0" applyFont="1" applyBorder="1" applyProtection="1">
      <protection locked="0"/>
    </xf>
    <xf numFmtId="0" fontId="10" fillId="0" borderId="3" xfId="0" applyFont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7" fillId="3" borderId="6" xfId="0" applyFont="1" applyFill="1" applyBorder="1" applyAlignment="1" applyProtection="1">
      <alignment horizontal="center" wrapText="1"/>
      <protection locked="0"/>
    </xf>
    <xf numFmtId="0" fontId="13" fillId="2" borderId="5" xfId="0" applyFont="1" applyFill="1" applyBorder="1" applyAlignment="1" applyProtection="1">
      <alignment horizontal="center" wrapText="1"/>
      <protection locked="0"/>
    </xf>
    <xf numFmtId="0" fontId="1" fillId="9" borderId="7" xfId="0" applyFont="1" applyFill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166" fontId="10" fillId="0" borderId="3" xfId="0" applyNumberFormat="1" applyFont="1" applyBorder="1" applyAlignment="1" applyProtection="1">
      <alignment horizontal="center"/>
      <protection locked="0"/>
    </xf>
    <xf numFmtId="1" fontId="10" fillId="0" borderId="3" xfId="0" applyNumberFormat="1" applyFont="1" applyBorder="1" applyAlignment="1" applyProtection="1">
      <alignment horizontal="center"/>
      <protection locked="0"/>
    </xf>
    <xf numFmtId="165" fontId="5" fillId="9" borderId="0" xfId="0" applyNumberFormat="1" applyFont="1" applyFill="1" applyAlignment="1">
      <alignment horizontal="right" vertical="center"/>
    </xf>
    <xf numFmtId="165" fontId="4" fillId="2" borderId="0" xfId="0" applyNumberFormat="1" applyFont="1" applyFill="1" applyAlignment="1">
      <alignment horizontal="right" vertical="center"/>
    </xf>
    <xf numFmtId="1" fontId="1" fillId="9" borderId="0" xfId="0" applyNumberFormat="1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17" fillId="14" borderId="14" xfId="0" applyFont="1" applyFill="1" applyBorder="1" applyAlignment="1">
      <alignment horizontal="center" wrapText="1"/>
    </xf>
    <xf numFmtId="0" fontId="17" fillId="14" borderId="17" xfId="1" applyFont="1" applyFill="1" applyBorder="1" applyAlignment="1">
      <alignment horizontal="center" vertical="center" wrapText="1"/>
    </xf>
    <xf numFmtId="0" fontId="18" fillId="14" borderId="17" xfId="1" applyFont="1" applyFill="1" applyBorder="1" applyAlignment="1">
      <alignment horizontal="center" vertical="center" wrapText="1"/>
    </xf>
    <xf numFmtId="0" fontId="21" fillId="2" borderId="0" xfId="0" applyFont="1" applyFill="1"/>
    <xf numFmtId="0" fontId="21" fillId="0" borderId="0" xfId="0" applyFont="1"/>
    <xf numFmtId="1" fontId="21" fillId="0" borderId="0" xfId="0" applyNumberFormat="1" applyFont="1"/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17" fillId="14" borderId="15" xfId="0" applyFont="1" applyFill="1" applyBorder="1" applyAlignment="1">
      <alignment horizontal="center" vertical="center" wrapText="1"/>
    </xf>
    <xf numFmtId="0" fontId="17" fillId="14" borderId="16" xfId="0" applyFont="1" applyFill="1" applyBorder="1" applyAlignment="1">
      <alignment horizontal="center" vertical="center" wrapText="1"/>
    </xf>
    <xf numFmtId="0" fontId="22" fillId="12" borderId="11" xfId="0" applyFont="1" applyFill="1" applyBorder="1" applyAlignment="1" applyProtection="1">
      <alignment horizontal="center" vertical="center" wrapText="1"/>
      <protection locked="0"/>
    </xf>
    <xf numFmtId="0" fontId="22" fillId="5" borderId="11" xfId="0" applyFont="1" applyFill="1" applyBorder="1" applyAlignment="1" applyProtection="1">
      <alignment horizontal="center" vertical="center" wrapText="1"/>
      <protection locked="0"/>
    </xf>
    <xf numFmtId="0" fontId="22" fillId="6" borderId="11" xfId="0" applyFont="1" applyFill="1" applyBorder="1" applyAlignment="1" applyProtection="1">
      <alignment horizontal="center" vertical="center" wrapText="1"/>
      <protection locked="0"/>
    </xf>
    <xf numFmtId="0" fontId="22" fillId="7" borderId="11" xfId="0" applyFont="1" applyFill="1" applyBorder="1" applyAlignment="1" applyProtection="1">
      <alignment horizontal="center" vertical="center" wrapText="1"/>
      <protection locked="0"/>
    </xf>
    <xf numFmtId="0" fontId="22" fillId="10" borderId="11" xfId="0" applyFont="1" applyFill="1" applyBorder="1" applyAlignment="1" applyProtection="1">
      <alignment horizontal="center" vertical="center" wrapText="1"/>
      <protection locked="0"/>
    </xf>
    <xf numFmtId="0" fontId="22" fillId="8" borderId="11" xfId="0" applyFont="1" applyFill="1" applyBorder="1" applyAlignment="1" applyProtection="1">
      <alignment horizontal="center" vertical="center" wrapText="1"/>
      <protection locked="0"/>
    </xf>
    <xf numFmtId="0" fontId="22" fillId="11" borderId="11" xfId="0" applyFont="1" applyFill="1" applyBorder="1" applyAlignment="1" applyProtection="1">
      <alignment horizontal="center" vertical="center" wrapText="1"/>
      <protection locked="0"/>
    </xf>
    <xf numFmtId="0" fontId="22" fillId="4" borderId="11" xfId="0" applyFont="1" applyFill="1" applyBorder="1" applyAlignment="1" applyProtection="1">
      <alignment horizontal="center" vertical="center" wrapText="1"/>
      <protection locked="0"/>
    </xf>
    <xf numFmtId="0" fontId="22" fillId="13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/>
    <xf numFmtId="0" fontId="14" fillId="2" borderId="13" xfId="0" applyFont="1" applyFill="1" applyBorder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165" fontId="14" fillId="2" borderId="0" xfId="0" applyNumberFormat="1" applyFont="1" applyFill="1" applyAlignment="1">
      <alignment horizontal="right" vertical="center"/>
    </xf>
    <xf numFmtId="0" fontId="22" fillId="12" borderId="8" xfId="0" applyFont="1" applyFill="1" applyBorder="1" applyAlignment="1" applyProtection="1">
      <alignment horizontal="center" vertical="center" wrapText="1"/>
      <protection locked="0"/>
    </xf>
    <xf numFmtId="0" fontId="22" fillId="5" borderId="8" xfId="0" applyFont="1" applyFill="1" applyBorder="1" applyAlignment="1" applyProtection="1">
      <alignment horizontal="center" vertical="center" wrapText="1"/>
      <protection locked="0"/>
    </xf>
    <xf numFmtId="0" fontId="22" fillId="6" borderId="8" xfId="0" applyFont="1" applyFill="1" applyBorder="1" applyAlignment="1" applyProtection="1">
      <alignment horizontal="center" vertical="center" wrapText="1"/>
      <protection locked="0"/>
    </xf>
    <xf numFmtId="0" fontId="22" fillId="7" borderId="8" xfId="0" applyFont="1" applyFill="1" applyBorder="1" applyAlignment="1" applyProtection="1">
      <alignment horizontal="center" vertical="center" wrapText="1"/>
      <protection locked="0"/>
    </xf>
    <xf numFmtId="0" fontId="22" fillId="10" borderId="8" xfId="0" applyFont="1" applyFill="1" applyBorder="1" applyAlignment="1" applyProtection="1">
      <alignment horizontal="center" vertical="center" wrapText="1"/>
      <protection locked="0"/>
    </xf>
    <xf numFmtId="0" fontId="22" fillId="8" borderId="8" xfId="0" applyFont="1" applyFill="1" applyBorder="1" applyAlignment="1" applyProtection="1">
      <alignment horizontal="center" vertical="center" wrapText="1"/>
      <protection locked="0"/>
    </xf>
    <xf numFmtId="0" fontId="22" fillId="11" borderId="8" xfId="0" applyFont="1" applyFill="1" applyBorder="1" applyAlignment="1" applyProtection="1">
      <alignment horizontal="center" vertical="center" wrapText="1"/>
      <protection locked="0"/>
    </xf>
    <xf numFmtId="0" fontId="22" fillId="4" borderId="8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/>
    <xf numFmtId="0" fontId="20" fillId="2" borderId="0" xfId="0" applyFont="1" applyFill="1"/>
    <xf numFmtId="0" fontId="17" fillId="14" borderId="18" xfId="0" applyFont="1" applyFill="1" applyBorder="1" applyAlignment="1">
      <alignment horizontal="center" vertical="center" wrapText="1"/>
    </xf>
    <xf numFmtId="0" fontId="17" fillId="14" borderId="19" xfId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vertical="center"/>
    </xf>
    <xf numFmtId="0" fontId="21" fillId="9" borderId="1" xfId="0" applyFont="1" applyFill="1" applyBorder="1" applyAlignment="1" applyProtection="1">
      <alignment vertical="center"/>
      <protection locked="0"/>
    </xf>
    <xf numFmtId="0" fontId="21" fillId="2" borderId="1" xfId="0" applyFont="1" applyFill="1" applyBorder="1" applyAlignment="1" applyProtection="1">
      <alignment vertical="center"/>
      <protection locked="0"/>
    </xf>
    <xf numFmtId="0" fontId="17" fillId="14" borderId="20" xfId="0" applyFont="1" applyFill="1" applyBorder="1" applyAlignment="1">
      <alignment horizontal="center" vertical="center" wrapText="1"/>
    </xf>
    <xf numFmtId="0" fontId="18" fillId="14" borderId="21" xfId="0" applyFont="1" applyFill="1" applyBorder="1" applyAlignment="1">
      <alignment horizontal="center" vertical="center" wrapText="1"/>
    </xf>
    <xf numFmtId="0" fontId="18" fillId="14" borderId="22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 applyProtection="1">
      <alignment vertical="center"/>
      <protection locked="0"/>
    </xf>
    <xf numFmtId="0" fontId="21" fillId="2" borderId="24" xfId="0" applyFont="1" applyFill="1" applyBorder="1" applyAlignment="1" applyProtection="1">
      <alignment vertical="center"/>
      <protection locked="0"/>
    </xf>
    <xf numFmtId="0" fontId="21" fillId="0" borderId="0" xfId="0" applyFont="1" applyAlignment="1">
      <alignment wrapText="1"/>
    </xf>
    <xf numFmtId="0" fontId="22" fillId="15" borderId="11" xfId="0" applyFont="1" applyFill="1" applyBorder="1" applyAlignment="1" applyProtection="1">
      <alignment horizontal="center" vertical="center" wrapText="1"/>
      <protection locked="0"/>
    </xf>
    <xf numFmtId="0" fontId="22" fillId="15" borderId="8" xfId="0" applyFont="1" applyFill="1" applyBorder="1" applyAlignment="1" applyProtection="1">
      <alignment horizontal="center" vertical="center" wrapText="1"/>
      <protection locked="0"/>
    </xf>
    <xf numFmtId="0" fontId="21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165" fontId="21" fillId="2" borderId="10" xfId="0" applyNumberFormat="1" applyFont="1" applyFill="1" applyBorder="1" applyAlignment="1">
      <alignment horizontal="right" vertical="center"/>
    </xf>
    <xf numFmtId="0" fontId="21" fillId="2" borderId="13" xfId="0" applyFont="1" applyFill="1" applyBorder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165" fontId="21" fillId="2" borderId="0" xfId="0" applyNumberFormat="1" applyFont="1" applyFill="1" applyAlignment="1">
      <alignment horizontal="right" vertical="center"/>
    </xf>
    <xf numFmtId="0" fontId="22" fillId="16" borderId="8" xfId="1" applyFont="1" applyFill="1" applyBorder="1" applyAlignment="1" applyProtection="1">
      <alignment horizontal="center" vertical="center" wrapText="1"/>
      <protection locked="0"/>
    </xf>
    <xf numFmtId="0" fontId="22" fillId="16" borderId="9" xfId="1" applyFont="1" applyFill="1" applyBorder="1" applyAlignment="1" applyProtection="1">
      <alignment horizontal="center" vertical="center" wrapText="1"/>
      <protection locked="0"/>
    </xf>
    <xf numFmtId="0" fontId="23" fillId="17" borderId="36" xfId="0" applyFont="1" applyFill="1" applyBorder="1" applyAlignment="1" applyProtection="1">
      <alignment horizontal="center" vertical="center" wrapText="1"/>
      <protection locked="0"/>
    </xf>
    <xf numFmtId="0" fontId="24" fillId="17" borderId="36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165" fontId="21" fillId="9" borderId="23" xfId="4" applyNumberFormat="1" applyFont="1" applyFill="1" applyBorder="1" applyAlignment="1" applyProtection="1">
      <alignment vertical="center"/>
      <protection locked="0"/>
    </xf>
    <xf numFmtId="0" fontId="26" fillId="2" borderId="12" xfId="6" applyFont="1" applyFill="1" applyBorder="1" applyAlignment="1">
      <alignment vertical="center"/>
    </xf>
    <xf numFmtId="0" fontId="14" fillId="0" borderId="0" xfId="0" applyFont="1"/>
    <xf numFmtId="0" fontId="27" fillId="2" borderId="12" xfId="6" applyFont="1" applyFill="1" applyBorder="1"/>
    <xf numFmtId="0" fontId="27" fillId="2" borderId="13" xfId="6" applyFont="1" applyFill="1" applyBorder="1"/>
    <xf numFmtId="0" fontId="26" fillId="2" borderId="13" xfId="6" applyFont="1" applyFill="1" applyBorder="1" applyAlignment="1" applyProtection="1">
      <alignment vertical="center"/>
    </xf>
    <xf numFmtId="0" fontId="26" fillId="0" borderId="13" xfId="6" applyFont="1" applyBorder="1" applyProtection="1"/>
    <xf numFmtId="0" fontId="26" fillId="2" borderId="13" xfId="6" applyFont="1" applyFill="1" applyBorder="1" applyProtection="1"/>
    <xf numFmtId="0" fontId="26" fillId="2" borderId="46" xfId="6" applyFont="1" applyFill="1" applyBorder="1" applyProtection="1"/>
    <xf numFmtId="0" fontId="26" fillId="2" borderId="30" xfId="6" applyFont="1" applyFill="1" applyBorder="1" applyProtection="1"/>
    <xf numFmtId="165" fontId="21" fillId="2" borderId="23" xfId="4" applyNumberFormat="1" applyFont="1" applyFill="1" applyBorder="1" applyAlignment="1" applyProtection="1">
      <alignment vertical="center"/>
    </xf>
    <xf numFmtId="0" fontId="22" fillId="2" borderId="0" xfId="6" applyFont="1" applyFill="1" applyBorder="1" applyAlignment="1" applyProtection="1">
      <alignment horizontal="center"/>
    </xf>
    <xf numFmtId="0" fontId="22" fillId="2" borderId="53" xfId="6" applyFont="1" applyFill="1" applyBorder="1" applyAlignment="1" applyProtection="1">
      <alignment horizontal="center"/>
    </xf>
    <xf numFmtId="0" fontId="22" fillId="12" borderId="9" xfId="0" applyFont="1" applyFill="1" applyBorder="1" applyAlignment="1" applyProtection="1">
      <alignment horizontal="center" vertical="center" wrapText="1"/>
      <protection locked="0"/>
    </xf>
    <xf numFmtId="0" fontId="22" fillId="5" borderId="9" xfId="0" applyFont="1" applyFill="1" applyBorder="1" applyAlignment="1" applyProtection="1">
      <alignment horizontal="center" vertical="center" wrapText="1"/>
      <protection locked="0"/>
    </xf>
    <xf numFmtId="0" fontId="22" fillId="6" borderId="9" xfId="0" applyFont="1" applyFill="1" applyBorder="1" applyAlignment="1" applyProtection="1">
      <alignment horizontal="center" vertical="center" wrapText="1"/>
      <protection locked="0"/>
    </xf>
    <xf numFmtId="0" fontId="22" fillId="7" borderId="9" xfId="0" applyFont="1" applyFill="1" applyBorder="1" applyAlignment="1" applyProtection="1">
      <alignment horizontal="center" vertical="center" wrapText="1"/>
      <protection locked="0"/>
    </xf>
    <xf numFmtId="0" fontId="22" fillId="10" borderId="9" xfId="0" applyFont="1" applyFill="1" applyBorder="1" applyAlignment="1" applyProtection="1">
      <alignment horizontal="center" vertical="center" wrapText="1"/>
      <protection locked="0"/>
    </xf>
    <xf numFmtId="0" fontId="22" fillId="8" borderId="9" xfId="0" applyFont="1" applyFill="1" applyBorder="1" applyAlignment="1" applyProtection="1">
      <alignment horizontal="center" vertical="center" wrapText="1"/>
      <protection locked="0"/>
    </xf>
    <xf numFmtId="0" fontId="22" fillId="11" borderId="9" xfId="0" applyFont="1" applyFill="1" applyBorder="1" applyAlignment="1" applyProtection="1">
      <alignment horizontal="center" vertical="center" wrapText="1"/>
      <protection locked="0"/>
    </xf>
    <xf numFmtId="0" fontId="22" fillId="15" borderId="9" xfId="0" applyFont="1" applyFill="1" applyBorder="1" applyAlignment="1" applyProtection="1">
      <alignment horizontal="center" vertical="center" wrapText="1"/>
      <protection locked="0"/>
    </xf>
    <xf numFmtId="165" fontId="14" fillId="2" borderId="23" xfId="4" applyNumberFormat="1" applyFont="1" applyFill="1" applyBorder="1" applyAlignment="1" applyProtection="1">
      <alignment horizontal="right" vertical="center"/>
    </xf>
    <xf numFmtId="165" fontId="14" fillId="2" borderId="67" xfId="4" applyNumberFormat="1" applyFont="1" applyFill="1" applyBorder="1" applyAlignment="1" applyProtection="1">
      <alignment horizontal="right" vertical="center"/>
    </xf>
    <xf numFmtId="0" fontId="17" fillId="2" borderId="0" xfId="0" applyFont="1" applyFill="1"/>
    <xf numFmtId="0" fontId="27" fillId="0" borderId="13" xfId="6" applyFont="1" applyFill="1" applyBorder="1" applyProtection="1"/>
    <xf numFmtId="0" fontId="0" fillId="0" borderId="4" xfId="0" applyBorder="1" applyAlignment="1">
      <alignment horizontal="center" vertical="center" wrapText="1"/>
    </xf>
    <xf numFmtId="0" fontId="14" fillId="2" borderId="79" xfId="0" applyFont="1" applyFill="1" applyBorder="1" applyAlignment="1">
      <alignment horizontal="center" vertical="center"/>
    </xf>
    <xf numFmtId="0" fontId="14" fillId="2" borderId="79" xfId="0" applyFont="1" applyFill="1" applyBorder="1" applyAlignment="1">
      <alignment horizontal="center" vertical="center" wrapText="1"/>
    </xf>
    <xf numFmtId="165" fontId="14" fillId="2" borderId="79" xfId="0" applyNumberFormat="1" applyFont="1" applyFill="1" applyBorder="1" applyAlignment="1">
      <alignment horizontal="right" vertical="center"/>
    </xf>
    <xf numFmtId="10" fontId="21" fillId="2" borderId="79" xfId="0" applyNumberFormat="1" applyFont="1" applyFill="1" applyBorder="1" applyAlignment="1">
      <alignment horizontal="right" vertical="center"/>
    </xf>
    <xf numFmtId="0" fontId="26" fillId="2" borderId="80" xfId="6" applyFont="1" applyFill="1" applyBorder="1" applyProtection="1"/>
    <xf numFmtId="0" fontId="26" fillId="23" borderId="80" xfId="6" applyFont="1" applyFill="1" applyBorder="1" applyProtection="1"/>
    <xf numFmtId="0" fontId="36" fillId="2" borderId="0" xfId="0" applyFont="1" applyFill="1"/>
    <xf numFmtId="1" fontId="35" fillId="2" borderId="0" xfId="0" applyNumberFormat="1" applyFont="1" applyFill="1" applyAlignment="1">
      <alignment horizontal="center"/>
    </xf>
    <xf numFmtId="2" fontId="35" fillId="2" borderId="0" xfId="0" applyNumberFormat="1" applyFont="1" applyFill="1" applyAlignment="1">
      <alignment horizontal="center"/>
    </xf>
    <xf numFmtId="165" fontId="35" fillId="2" borderId="0" xfId="0" applyNumberFormat="1" applyFont="1" applyFill="1" applyAlignment="1">
      <alignment horizontal="center"/>
    </xf>
    <xf numFmtId="0" fontId="36" fillId="2" borderId="42" xfId="0" applyFont="1" applyFill="1" applyBorder="1"/>
    <xf numFmtId="0" fontId="21" fillId="16" borderId="29" xfId="0" applyFont="1" applyFill="1" applyBorder="1" applyAlignment="1">
      <alignment horizontal="center" wrapText="1"/>
    </xf>
    <xf numFmtId="0" fontId="14" fillId="16" borderId="29" xfId="0" applyFont="1" applyFill="1" applyBorder="1" applyAlignment="1">
      <alignment horizontal="center" vertical="center"/>
    </xf>
    <xf numFmtId="0" fontId="14" fillId="16" borderId="29" xfId="0" applyFont="1" applyFill="1" applyBorder="1" applyAlignment="1">
      <alignment horizontal="center" vertical="center" wrapText="1"/>
    </xf>
    <xf numFmtId="0" fontId="14" fillId="16" borderId="6" xfId="0" applyFont="1" applyFill="1" applyBorder="1" applyAlignment="1">
      <alignment vertical="center"/>
    </xf>
    <xf numFmtId="0" fontId="22" fillId="16" borderId="29" xfId="0" applyFont="1" applyFill="1" applyBorder="1" applyAlignment="1">
      <alignment horizontal="center" vertical="center"/>
    </xf>
    <xf numFmtId="1" fontId="14" fillId="2" borderId="25" xfId="0" applyNumberFormat="1" applyFont="1" applyFill="1" applyBorder="1" applyAlignment="1">
      <alignment vertical="center"/>
    </xf>
    <xf numFmtId="1" fontId="14" fillId="2" borderId="1" xfId="0" applyNumberFormat="1" applyFont="1" applyFill="1" applyBorder="1" applyAlignment="1">
      <alignment vertical="center"/>
    </xf>
    <xf numFmtId="0" fontId="22" fillId="12" borderId="8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2" fillId="7" borderId="8" xfId="0" applyFont="1" applyFill="1" applyBorder="1" applyAlignment="1">
      <alignment horizontal="center" vertical="center" wrapText="1"/>
    </xf>
    <xf numFmtId="0" fontId="22" fillId="10" borderId="8" xfId="0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0" fontId="22" fillId="11" borderId="8" xfId="0" applyFont="1" applyFill="1" applyBorder="1" applyAlignment="1">
      <alignment horizontal="center" vertical="center" wrapText="1"/>
    </xf>
    <xf numFmtId="0" fontId="22" fillId="15" borderId="8" xfId="0" applyFont="1" applyFill="1" applyBorder="1" applyAlignment="1">
      <alignment horizontal="center" vertical="center" wrapText="1"/>
    </xf>
    <xf numFmtId="1" fontId="14" fillId="16" borderId="6" xfId="0" applyNumberFormat="1" applyFont="1" applyFill="1" applyBorder="1" applyAlignment="1">
      <alignment vertical="center"/>
    </xf>
    <xf numFmtId="0" fontId="21" fillId="2" borderId="42" xfId="0" applyFont="1" applyFill="1" applyBorder="1"/>
    <xf numFmtId="0" fontId="14" fillId="16" borderId="6" xfId="0" applyFont="1" applyFill="1" applyBorder="1" applyAlignment="1">
      <alignment horizontal="left" vertical="center"/>
    </xf>
    <xf numFmtId="1" fontId="14" fillId="16" borderId="1" xfId="0" applyNumberFormat="1" applyFont="1" applyFill="1" applyBorder="1" applyAlignment="1">
      <alignment vertical="center"/>
    </xf>
    <xf numFmtId="0" fontId="21" fillId="2" borderId="45" xfId="0" applyFont="1" applyFill="1" applyBorder="1" applyAlignment="1">
      <alignment horizontal="center" vertical="center" wrapText="1"/>
    </xf>
    <xf numFmtId="0" fontId="21" fillId="2" borderId="45" xfId="0" applyFont="1" applyFill="1" applyBorder="1" applyAlignment="1">
      <alignment horizontal="center" vertical="center"/>
    </xf>
    <xf numFmtId="165" fontId="21" fillId="2" borderId="45" xfId="0" applyNumberFormat="1" applyFont="1" applyFill="1" applyBorder="1" applyAlignment="1">
      <alignment horizontal="right" vertical="center"/>
    </xf>
    <xf numFmtId="10" fontId="21" fillId="2" borderId="45" xfId="0" applyNumberFormat="1" applyFont="1" applyFill="1" applyBorder="1" applyAlignment="1">
      <alignment horizontal="right" vertical="center"/>
    </xf>
    <xf numFmtId="0" fontId="14" fillId="2" borderId="45" xfId="0" applyFont="1" applyFill="1" applyBorder="1" applyAlignment="1">
      <alignment horizontal="center" vertical="center"/>
    </xf>
    <xf numFmtId="0" fontId="14" fillId="2" borderId="83" xfId="0" applyFont="1" applyFill="1" applyBorder="1" applyAlignment="1">
      <alignment horizontal="center" vertical="center"/>
    </xf>
    <xf numFmtId="0" fontId="14" fillId="2" borderId="83" xfId="0" applyFont="1" applyFill="1" applyBorder="1" applyAlignment="1">
      <alignment horizontal="center" vertical="center" wrapText="1"/>
    </xf>
    <xf numFmtId="165" fontId="14" fillId="2" borderId="83" xfId="0" applyNumberFormat="1" applyFont="1" applyFill="1" applyBorder="1" applyAlignment="1">
      <alignment horizontal="right" vertical="center"/>
    </xf>
    <xf numFmtId="10" fontId="21" fillId="2" borderId="83" xfId="0" applyNumberFormat="1" applyFont="1" applyFill="1" applyBorder="1" applyAlignment="1">
      <alignment horizontal="right" vertical="center"/>
    </xf>
    <xf numFmtId="1" fontId="14" fillId="2" borderId="68" xfId="0" applyNumberFormat="1" applyFont="1" applyFill="1" applyBorder="1" applyAlignment="1">
      <alignment vertical="center"/>
    </xf>
    <xf numFmtId="0" fontId="14" fillId="16" borderId="29" xfId="0" applyFont="1" applyFill="1" applyBorder="1" applyAlignment="1">
      <alignment horizontal="left" vertical="center"/>
    </xf>
    <xf numFmtId="0" fontId="24" fillId="0" borderId="9" xfId="0" applyFont="1" applyBorder="1" applyAlignment="1">
      <alignment horizontal="center" vertical="center" wrapText="1"/>
    </xf>
    <xf numFmtId="1" fontId="21" fillId="2" borderId="68" xfId="0" applyNumberFormat="1" applyFont="1" applyFill="1" applyBorder="1" applyAlignment="1">
      <alignment vertical="center"/>
    </xf>
    <xf numFmtId="0" fontId="18" fillId="14" borderId="68" xfId="0" applyFont="1" applyFill="1" applyBorder="1" applyAlignment="1">
      <alignment horizontal="center" vertical="center" wrapText="1"/>
    </xf>
    <xf numFmtId="0" fontId="26" fillId="0" borderId="13" xfId="6" applyFont="1" applyFill="1" applyBorder="1" applyProtection="1"/>
    <xf numFmtId="0" fontId="26" fillId="0" borderId="13" xfId="6" applyFont="1" applyFill="1" applyBorder="1" applyAlignment="1" applyProtection="1">
      <alignment vertical="center"/>
    </xf>
    <xf numFmtId="0" fontId="26" fillId="0" borderId="12" xfId="6" applyFont="1" applyFill="1" applyBorder="1" applyProtection="1"/>
    <xf numFmtId="10" fontId="14" fillId="2" borderId="0" xfId="0" applyNumberFormat="1" applyFont="1" applyFill="1" applyAlignment="1">
      <alignment horizontal="right" vertical="center"/>
    </xf>
    <xf numFmtId="0" fontId="29" fillId="0" borderId="0" xfId="0" applyFont="1"/>
    <xf numFmtId="0" fontId="31" fillId="14" borderId="20" xfId="0" applyFont="1" applyFill="1" applyBorder="1" applyAlignment="1">
      <alignment horizontal="center" vertical="center" wrapText="1"/>
    </xf>
    <xf numFmtId="165" fontId="22" fillId="2" borderId="79" xfId="0" applyNumberFormat="1" applyFont="1" applyFill="1" applyBorder="1" applyAlignment="1">
      <alignment horizontal="right" vertical="center"/>
    </xf>
    <xf numFmtId="0" fontId="32" fillId="14" borderId="70" xfId="0" applyFont="1" applyFill="1" applyBorder="1" applyAlignment="1">
      <alignment horizontal="center" vertical="center" wrapText="1"/>
    </xf>
    <xf numFmtId="0" fontId="32" fillId="14" borderId="71" xfId="0" applyFont="1" applyFill="1" applyBorder="1" applyAlignment="1">
      <alignment horizontal="center" vertical="center" wrapText="1"/>
    </xf>
    <xf numFmtId="2" fontId="20" fillId="0" borderId="0" xfId="0" applyNumberFormat="1" applyFont="1"/>
    <xf numFmtId="2" fontId="21" fillId="0" borderId="0" xfId="0" applyNumberFormat="1" applyFont="1"/>
    <xf numFmtId="165" fontId="9" fillId="0" borderId="43" xfId="0" applyNumberFormat="1" applyFont="1" applyBorder="1" applyAlignment="1">
      <alignment horizontal="center"/>
    </xf>
    <xf numFmtId="165" fontId="9" fillId="0" borderId="44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right"/>
    </xf>
    <xf numFmtId="0" fontId="17" fillId="14" borderId="51" xfId="0" applyFont="1" applyFill="1" applyBorder="1" applyAlignment="1">
      <alignment horizontal="center" vertical="center" wrapText="1"/>
    </xf>
    <xf numFmtId="0" fontId="30" fillId="14" borderId="0" xfId="0" applyFont="1" applyFill="1" applyAlignment="1">
      <alignment horizontal="center" vertical="center" wrapText="1"/>
    </xf>
    <xf numFmtId="0" fontId="21" fillId="14" borderId="0" xfId="0" applyFont="1" applyFill="1" applyAlignment="1">
      <alignment horizontal="center" wrapText="1"/>
    </xf>
    <xf numFmtId="10" fontId="21" fillId="2" borderId="0" xfId="0" applyNumberFormat="1" applyFont="1" applyFill="1" applyAlignment="1">
      <alignment horizontal="right" vertical="center"/>
    </xf>
    <xf numFmtId="165" fontId="17" fillId="2" borderId="0" xfId="0" applyNumberFormat="1" applyFont="1" applyFill="1" applyAlignment="1">
      <alignment horizontal="right" vertical="center"/>
    </xf>
    <xf numFmtId="0" fontId="29" fillId="0" borderId="0" xfId="0" quotePrefix="1" applyFont="1"/>
    <xf numFmtId="165" fontId="22" fillId="2" borderId="0" xfId="0" applyNumberFormat="1" applyFont="1" applyFill="1" applyAlignment="1">
      <alignment horizontal="right" vertical="center"/>
    </xf>
    <xf numFmtId="0" fontId="17" fillId="14" borderId="63" xfId="0" applyFont="1" applyFill="1" applyBorder="1" applyAlignment="1">
      <alignment horizontal="center" vertical="center" wrapText="1"/>
    </xf>
    <xf numFmtId="0" fontId="17" fillId="14" borderId="64" xfId="0" applyFont="1" applyFill="1" applyBorder="1" applyAlignment="1">
      <alignment horizontal="center" vertical="center" wrapText="1"/>
    </xf>
    <xf numFmtId="0" fontId="17" fillId="14" borderId="65" xfId="0" applyFont="1" applyFill="1" applyBorder="1" applyAlignment="1">
      <alignment horizontal="center" vertical="center" wrapText="1"/>
    </xf>
    <xf numFmtId="0" fontId="17" fillId="14" borderId="66" xfId="0" applyFont="1" applyFill="1" applyBorder="1" applyAlignment="1">
      <alignment horizontal="center" vertical="center" wrapText="1"/>
    </xf>
    <xf numFmtId="0" fontId="17" fillId="14" borderId="67" xfId="0" applyFont="1" applyFill="1" applyBorder="1" applyAlignment="1">
      <alignment horizontal="center" vertical="center" wrapText="1"/>
    </xf>
    <xf numFmtId="0" fontId="17" fillId="14" borderId="52" xfId="1" applyFont="1" applyFill="1" applyBorder="1" applyAlignment="1">
      <alignment horizontal="center" vertical="center" wrapText="1"/>
    </xf>
    <xf numFmtId="0" fontId="17" fillId="14" borderId="68" xfId="1" applyFont="1" applyFill="1" applyBorder="1" applyAlignment="1">
      <alignment horizontal="center" vertical="center" wrapText="1"/>
    </xf>
    <xf numFmtId="0" fontId="18" fillId="14" borderId="68" xfId="1" applyFont="1" applyFill="1" applyBorder="1" applyAlignment="1">
      <alignment horizontal="center" vertical="center" wrapText="1"/>
    </xf>
    <xf numFmtId="1" fontId="21" fillId="2" borderId="0" xfId="0" applyNumberFormat="1" applyFont="1" applyFill="1" applyAlignment="1">
      <alignment vertical="center"/>
    </xf>
    <xf numFmtId="1" fontId="14" fillId="2" borderId="0" xfId="0" applyNumberFormat="1" applyFont="1" applyFill="1" applyAlignment="1">
      <alignment vertical="center"/>
    </xf>
    <xf numFmtId="0" fontId="24" fillId="0" borderId="58" xfId="0" applyFont="1" applyBorder="1" applyAlignment="1">
      <alignment horizontal="center" vertical="center" wrapText="1"/>
    </xf>
    <xf numFmtId="0" fontId="14" fillId="2" borderId="53" xfId="0" applyFont="1" applyFill="1" applyBorder="1" applyAlignment="1">
      <alignment horizontal="center" vertical="center"/>
    </xf>
    <xf numFmtId="0" fontId="14" fillId="2" borderId="53" xfId="0" applyFont="1" applyFill="1" applyBorder="1" applyAlignment="1">
      <alignment horizontal="center" vertical="center" wrapText="1"/>
    </xf>
    <xf numFmtId="165" fontId="14" fillId="2" borderId="53" xfId="0" applyNumberFormat="1" applyFont="1" applyFill="1" applyBorder="1" applyAlignment="1">
      <alignment horizontal="right" vertical="center"/>
    </xf>
    <xf numFmtId="165" fontId="22" fillId="2" borderId="53" xfId="0" applyNumberFormat="1" applyFont="1" applyFill="1" applyBorder="1" applyAlignment="1">
      <alignment horizontal="right" vertical="center"/>
    </xf>
    <xf numFmtId="1" fontId="21" fillId="2" borderId="53" xfId="0" applyNumberFormat="1" applyFont="1" applyFill="1" applyBorder="1" applyAlignment="1">
      <alignment vertical="center"/>
    </xf>
    <xf numFmtId="1" fontId="14" fillId="2" borderId="53" xfId="0" applyNumberFormat="1" applyFont="1" applyFill="1" applyBorder="1" applyAlignment="1">
      <alignment vertical="center"/>
    </xf>
    <xf numFmtId="0" fontId="24" fillId="0" borderId="60" xfId="0" applyFont="1" applyBorder="1" applyAlignment="1">
      <alignment horizontal="center" vertical="center" wrapText="1"/>
    </xf>
    <xf numFmtId="0" fontId="21" fillId="0" borderId="69" xfId="0" applyFont="1" applyBorder="1"/>
    <xf numFmtId="0" fontId="28" fillId="17" borderId="3" xfId="0" applyFont="1" applyFill="1" applyBorder="1" applyAlignment="1">
      <alignment horizontal="center" vertical="center" wrapText="1"/>
    </xf>
    <xf numFmtId="0" fontId="17" fillId="14" borderId="27" xfId="0" applyFont="1" applyFill="1" applyBorder="1" applyAlignment="1">
      <alignment horizontal="center" vertical="center" wrapText="1"/>
    </xf>
    <xf numFmtId="0" fontId="18" fillId="14" borderId="0" xfId="1" applyFont="1" applyFill="1" applyAlignment="1">
      <alignment horizontal="center" vertical="center" wrapText="1"/>
    </xf>
    <xf numFmtId="0" fontId="22" fillId="16" borderId="8" xfId="1" applyFont="1" applyFill="1" applyBorder="1" applyAlignment="1">
      <alignment horizontal="center" vertical="center" wrapText="1"/>
    </xf>
    <xf numFmtId="0" fontId="22" fillId="16" borderId="9" xfId="1" applyFont="1" applyFill="1" applyBorder="1" applyAlignment="1">
      <alignment horizontal="center" vertical="center" wrapText="1"/>
    </xf>
    <xf numFmtId="0" fontId="22" fillId="16" borderId="0" xfId="1" applyFont="1" applyFill="1" applyAlignment="1">
      <alignment horizontal="center" vertical="center" wrapText="1"/>
    </xf>
    <xf numFmtId="0" fontId="22" fillId="2" borderId="0" xfId="0" quotePrefix="1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7" fillId="2" borderId="0" xfId="0" quotePrefix="1" applyFont="1" applyFill="1" applyAlignment="1">
      <alignment horizontal="center" vertical="center"/>
    </xf>
    <xf numFmtId="0" fontId="22" fillId="2" borderId="79" xfId="0" quotePrefix="1" applyFont="1" applyFill="1" applyBorder="1" applyAlignment="1">
      <alignment horizontal="center" vertical="center"/>
    </xf>
    <xf numFmtId="0" fontId="23" fillId="17" borderId="84" xfId="0" applyFont="1" applyFill="1" applyBorder="1" applyAlignment="1">
      <alignment horizontal="center" vertical="center" wrapText="1"/>
    </xf>
    <xf numFmtId="0" fontId="22" fillId="0" borderId="81" xfId="0" applyFont="1" applyBorder="1" applyAlignment="1">
      <alignment horizontal="center" vertical="center" wrapText="1"/>
    </xf>
    <xf numFmtId="0" fontId="26" fillId="23" borderId="82" xfId="6" applyFont="1" applyFill="1" applyBorder="1" applyProtection="1"/>
    <xf numFmtId="0" fontId="22" fillId="2" borderId="83" xfId="0" quotePrefix="1" applyFont="1" applyFill="1" applyBorder="1" applyAlignment="1">
      <alignment horizontal="center" vertical="center"/>
    </xf>
    <xf numFmtId="165" fontId="22" fillId="2" borderId="83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22" fillId="16" borderId="2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165" fontId="34" fillId="2" borderId="0" xfId="0" applyNumberFormat="1" applyFont="1" applyFill="1" applyAlignment="1">
      <alignment horizontal="right" vertical="center"/>
    </xf>
    <xf numFmtId="0" fontId="34" fillId="0" borderId="0" xfId="0" applyFont="1"/>
    <xf numFmtId="0" fontId="21" fillId="2" borderId="0" xfId="0" applyFont="1" applyFill="1" applyAlignment="1">
      <alignment vertical="center"/>
    </xf>
    <xf numFmtId="0" fontId="24" fillId="0" borderId="0" xfId="0" applyFont="1" applyAlignment="1">
      <alignment horizontal="center" vertical="center" wrapText="1"/>
    </xf>
    <xf numFmtId="0" fontId="23" fillId="17" borderId="9" xfId="0" applyFont="1" applyFill="1" applyBorder="1" applyAlignment="1" applyProtection="1">
      <alignment horizontal="center" vertical="center" wrapText="1"/>
      <protection locked="0"/>
    </xf>
    <xf numFmtId="0" fontId="23" fillId="17" borderId="0" xfId="0" applyFont="1" applyFill="1" applyAlignment="1" applyProtection="1">
      <alignment horizontal="center" vertical="center" wrapText="1"/>
      <protection locked="0"/>
    </xf>
    <xf numFmtId="165" fontId="21" fillId="0" borderId="0" xfId="0" applyNumberFormat="1" applyFont="1"/>
    <xf numFmtId="0" fontId="18" fillId="14" borderId="19" xfId="0" applyFont="1" applyFill="1" applyBorder="1" applyAlignment="1">
      <alignment horizontal="center" vertical="center" wrapText="1"/>
    </xf>
    <xf numFmtId="0" fontId="17" fillId="14" borderId="5" xfId="1" applyFont="1" applyFill="1" applyBorder="1" applyAlignment="1">
      <alignment horizontal="center" vertical="center" wrapText="1"/>
    </xf>
    <xf numFmtId="0" fontId="18" fillId="14" borderId="5" xfId="1" applyFont="1" applyFill="1" applyBorder="1" applyAlignment="1">
      <alignment horizontal="center" vertical="center" wrapText="1"/>
    </xf>
    <xf numFmtId="1" fontId="14" fillId="16" borderId="0" xfId="0" applyNumberFormat="1" applyFont="1" applyFill="1" applyAlignment="1">
      <alignment vertical="center"/>
    </xf>
    <xf numFmtId="16" fontId="22" fillId="2" borderId="0" xfId="0" quotePrefix="1" applyNumberFormat="1" applyFont="1" applyFill="1" applyAlignment="1">
      <alignment horizontal="center" vertical="center"/>
    </xf>
    <xf numFmtId="0" fontId="21" fillId="2" borderId="45" xfId="0" applyFont="1" applyFill="1" applyBorder="1"/>
    <xf numFmtId="0" fontId="17" fillId="2" borderId="45" xfId="0" quotePrefix="1" applyFont="1" applyFill="1" applyBorder="1" applyAlignment="1">
      <alignment horizontal="center" vertical="center"/>
    </xf>
    <xf numFmtId="165" fontId="17" fillId="2" borderId="45" xfId="0" applyNumberFormat="1" applyFont="1" applyFill="1" applyBorder="1" applyAlignment="1">
      <alignment horizontal="right" vertical="center"/>
    </xf>
    <xf numFmtId="0" fontId="21" fillId="2" borderId="53" xfId="0" applyFont="1" applyFill="1" applyBorder="1" applyAlignment="1">
      <alignment horizontal="center" vertical="center" wrapText="1"/>
    </xf>
    <xf numFmtId="0" fontId="21" fillId="2" borderId="53" xfId="0" applyFont="1" applyFill="1" applyBorder="1" applyAlignment="1">
      <alignment horizontal="center" vertical="center"/>
    </xf>
    <xf numFmtId="165" fontId="21" fillId="2" borderId="53" xfId="0" applyNumberFormat="1" applyFont="1" applyFill="1" applyBorder="1" applyAlignment="1">
      <alignment horizontal="right" vertical="center"/>
    </xf>
    <xf numFmtId="10" fontId="21" fillId="2" borderId="53" xfId="0" applyNumberFormat="1" applyFont="1" applyFill="1" applyBorder="1" applyAlignment="1">
      <alignment horizontal="right" vertical="center"/>
    </xf>
    <xf numFmtId="165" fontId="17" fillId="2" borderId="53" xfId="0" applyNumberFormat="1" applyFont="1" applyFill="1" applyBorder="1" applyAlignment="1">
      <alignment horizontal="right" vertical="center"/>
    </xf>
    <xf numFmtId="0" fontId="22" fillId="2" borderId="45" xfId="0" quotePrefix="1" applyFont="1" applyFill="1" applyBorder="1" applyAlignment="1">
      <alignment horizontal="center" vertical="center"/>
    </xf>
    <xf numFmtId="165" fontId="14" fillId="2" borderId="45" xfId="0" applyNumberFormat="1" applyFont="1" applyFill="1" applyBorder="1" applyAlignment="1">
      <alignment horizontal="right" vertical="center"/>
    </xf>
    <xf numFmtId="165" fontId="22" fillId="2" borderId="45" xfId="0" applyNumberFormat="1" applyFont="1" applyFill="1" applyBorder="1" applyAlignment="1">
      <alignment horizontal="right" vertical="center"/>
    </xf>
    <xf numFmtId="0" fontId="22" fillId="2" borderId="53" xfId="0" quotePrefix="1" applyFont="1" applyFill="1" applyBorder="1" applyAlignment="1">
      <alignment horizontal="center" vertical="center"/>
    </xf>
    <xf numFmtId="0" fontId="27" fillId="0" borderId="13" xfId="6" applyFont="1" applyFill="1" applyBorder="1" applyAlignment="1" applyProtection="1">
      <alignment vertical="center"/>
    </xf>
    <xf numFmtId="165" fontId="14" fillId="2" borderId="1" xfId="0" applyNumberFormat="1" applyFont="1" applyFill="1" applyBorder="1" applyAlignment="1">
      <alignment horizontal="right" vertical="center"/>
    </xf>
    <xf numFmtId="165" fontId="14" fillId="2" borderId="8" xfId="0" applyNumberFormat="1" applyFont="1" applyFill="1" applyBorder="1" applyAlignment="1">
      <alignment horizontal="right" vertical="center"/>
    </xf>
    <xf numFmtId="165" fontId="14" fillId="2" borderId="68" xfId="0" applyNumberFormat="1" applyFont="1" applyFill="1" applyBorder="1" applyAlignment="1">
      <alignment horizontal="right" vertical="center"/>
    </xf>
    <xf numFmtId="165" fontId="14" fillId="2" borderId="9" xfId="0" applyNumberFormat="1" applyFont="1" applyFill="1" applyBorder="1" applyAlignment="1">
      <alignment horizontal="right" vertical="center"/>
    </xf>
    <xf numFmtId="0" fontId="14" fillId="2" borderId="79" xfId="0" quotePrefix="1" applyFont="1" applyFill="1" applyBorder="1" applyAlignment="1">
      <alignment horizontal="left" vertical="center"/>
    </xf>
    <xf numFmtId="0" fontId="14" fillId="2" borderId="79" xfId="0" quotePrefix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17" fillId="14" borderId="26" xfId="0" applyFont="1" applyFill="1" applyBorder="1" applyAlignment="1">
      <alignment horizontal="center" vertical="center" wrapText="1"/>
    </xf>
    <xf numFmtId="0" fontId="17" fillId="14" borderId="28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16" borderId="29" xfId="0" applyFont="1" applyFill="1" applyBorder="1" applyAlignment="1">
      <alignment horizontal="left" wrapText="1"/>
    </xf>
    <xf numFmtId="0" fontId="17" fillId="0" borderId="0" xfId="0" applyFont="1"/>
    <xf numFmtId="0" fontId="14" fillId="2" borderId="0" xfId="0" quotePrefix="1" applyFont="1" applyFill="1" applyAlignment="1">
      <alignment horizontal="center" vertical="center"/>
    </xf>
    <xf numFmtId="0" fontId="1" fillId="2" borderId="0" xfId="0" applyFont="1" applyFill="1"/>
    <xf numFmtId="0" fontId="36" fillId="2" borderId="0" xfId="0" applyFont="1" applyFill="1" applyAlignment="1">
      <alignment wrapText="1"/>
    </xf>
    <xf numFmtId="0" fontId="35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35" fillId="2" borderId="0" xfId="0" applyFont="1" applyFill="1" applyAlignment="1">
      <alignment horizontal="left"/>
    </xf>
    <xf numFmtId="0" fontId="37" fillId="2" borderId="34" xfId="0" applyFont="1" applyFill="1" applyBorder="1"/>
    <xf numFmtId="0" fontId="37" fillId="2" borderId="34" xfId="0" applyFont="1" applyFill="1" applyBorder="1" applyAlignment="1">
      <alignment horizontal="center" vertical="top"/>
    </xf>
    <xf numFmtId="0" fontId="37" fillId="2" borderId="0" xfId="0" applyFont="1" applyFill="1"/>
    <xf numFmtId="0" fontId="1" fillId="0" borderId="0" xfId="0" applyFont="1"/>
    <xf numFmtId="0" fontId="36" fillId="2" borderId="53" xfId="0" applyFont="1" applyFill="1" applyBorder="1"/>
    <xf numFmtId="1" fontId="35" fillId="2" borderId="53" xfId="0" applyNumberFormat="1" applyFont="1" applyFill="1" applyBorder="1" applyAlignment="1">
      <alignment horizontal="center"/>
    </xf>
    <xf numFmtId="2" fontId="35" fillId="2" borderId="53" xfId="0" applyNumberFormat="1" applyFont="1" applyFill="1" applyBorder="1" applyAlignment="1">
      <alignment horizontal="center"/>
    </xf>
    <xf numFmtId="1" fontId="36" fillId="2" borderId="0" xfId="0" applyNumberFormat="1" applyFont="1" applyFill="1" applyAlignment="1">
      <alignment horizontal="center"/>
    </xf>
    <xf numFmtId="2" fontId="36" fillId="2" borderId="0" xfId="0" applyNumberFormat="1" applyFont="1" applyFill="1" applyAlignment="1">
      <alignment horizontal="center"/>
    </xf>
    <xf numFmtId="166" fontId="36" fillId="2" borderId="0" xfId="0" applyNumberFormat="1" applyFont="1" applyFill="1" applyAlignment="1">
      <alignment horizontal="right"/>
    </xf>
    <xf numFmtId="0" fontId="36" fillId="2" borderId="87" xfId="0" applyFont="1" applyFill="1" applyBorder="1"/>
    <xf numFmtId="1" fontId="35" fillId="2" borderId="88" xfId="0" applyNumberFormat="1" applyFont="1" applyFill="1" applyBorder="1" applyAlignment="1">
      <alignment horizontal="center"/>
    </xf>
    <xf numFmtId="0" fontId="36" fillId="2" borderId="89" xfId="0" applyFont="1" applyFill="1" applyBorder="1"/>
    <xf numFmtId="1" fontId="36" fillId="2" borderId="90" xfId="0" applyNumberFormat="1" applyFont="1" applyFill="1" applyBorder="1" applyAlignment="1">
      <alignment horizontal="center"/>
    </xf>
    <xf numFmtId="2" fontId="36" fillId="2" borderId="90" xfId="0" applyNumberFormat="1" applyFont="1" applyFill="1" applyBorder="1" applyAlignment="1">
      <alignment horizontal="center"/>
    </xf>
    <xf numFmtId="0" fontId="39" fillId="2" borderId="0" xfId="0" applyFont="1" applyFill="1"/>
    <xf numFmtId="0" fontId="40" fillId="2" borderId="0" xfId="0" applyFont="1" applyFill="1"/>
    <xf numFmtId="0" fontId="38" fillId="2" borderId="54" xfId="0" applyFont="1" applyFill="1" applyBorder="1"/>
    <xf numFmtId="0" fontId="28" fillId="2" borderId="54" xfId="0" applyFont="1" applyFill="1" applyBorder="1"/>
    <xf numFmtId="0" fontId="41" fillId="14" borderId="73" xfId="1" applyFont="1" applyFill="1" applyBorder="1" applyAlignment="1">
      <alignment horizontal="center" vertical="center" wrapText="1"/>
    </xf>
    <xf numFmtId="0" fontId="41" fillId="14" borderId="74" xfId="1" applyFont="1" applyFill="1" applyBorder="1" applyAlignment="1">
      <alignment horizontal="center" vertical="center" wrapText="1"/>
    </xf>
    <xf numFmtId="0" fontId="41" fillId="14" borderId="75" xfId="0" applyFont="1" applyFill="1" applyBorder="1" applyAlignment="1">
      <alignment horizontal="center" vertical="center" wrapText="1"/>
    </xf>
    <xf numFmtId="0" fontId="41" fillId="14" borderId="72" xfId="1" applyFont="1" applyFill="1" applyBorder="1" applyAlignment="1">
      <alignment horizontal="center" vertical="center" wrapText="1"/>
    </xf>
    <xf numFmtId="0" fontId="36" fillId="2" borderId="1" xfId="0" applyFont="1" applyFill="1" applyBorder="1"/>
    <xf numFmtId="1" fontId="1" fillId="2" borderId="1" xfId="0" applyNumberFormat="1" applyFont="1" applyFill="1" applyBorder="1"/>
    <xf numFmtId="0" fontId="36" fillId="2" borderId="55" xfId="0" applyFont="1" applyFill="1" applyBorder="1"/>
    <xf numFmtId="0" fontId="36" fillId="2" borderId="54" xfId="0" applyFont="1" applyFill="1" applyBorder="1"/>
    <xf numFmtId="0" fontId="28" fillId="0" borderId="4" xfId="0" applyFont="1" applyBorder="1" applyAlignment="1">
      <alignment horizontal="center" vertical="center" wrapText="1"/>
    </xf>
    <xf numFmtId="0" fontId="36" fillId="2" borderId="76" xfId="0" applyFont="1" applyFill="1" applyBorder="1"/>
    <xf numFmtId="0" fontId="36" fillId="2" borderId="56" xfId="0" applyFont="1" applyFill="1" applyBorder="1"/>
    <xf numFmtId="1" fontId="1" fillId="0" borderId="1" xfId="0" applyNumberFormat="1" applyFont="1" applyBorder="1"/>
    <xf numFmtId="0" fontId="1" fillId="2" borderId="6" xfId="0" applyFont="1" applyFill="1" applyBorder="1"/>
    <xf numFmtId="0" fontId="36" fillId="2" borderId="57" xfId="0" applyFont="1" applyFill="1" applyBorder="1"/>
    <xf numFmtId="0" fontId="36" fillId="2" borderId="2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0" borderId="3" xfId="0" applyFont="1" applyBorder="1"/>
    <xf numFmtId="0" fontId="1" fillId="0" borderId="4" xfId="0" applyFont="1" applyBorder="1"/>
    <xf numFmtId="0" fontId="36" fillId="2" borderId="86" xfId="0" applyFont="1" applyFill="1" applyBorder="1"/>
    <xf numFmtId="0" fontId="21" fillId="0" borderId="0" xfId="0" applyFont="1" applyProtection="1">
      <protection hidden="1"/>
    </xf>
    <xf numFmtId="0" fontId="26" fillId="23" borderId="13" xfId="6" applyFont="1" applyFill="1" applyBorder="1" applyProtection="1">
      <protection hidden="1"/>
    </xf>
    <xf numFmtId="0" fontId="32" fillId="2" borderId="0" xfId="0" quotePrefix="1" applyFont="1" applyFill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horizontal="center" vertical="center" wrapText="1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165" fontId="14" fillId="2" borderId="0" xfId="0" applyNumberFormat="1" applyFont="1" applyFill="1" applyAlignment="1" applyProtection="1">
      <alignment horizontal="right" vertical="center"/>
      <protection hidden="1"/>
    </xf>
    <xf numFmtId="10" fontId="14" fillId="2" borderId="0" xfId="0" applyNumberFormat="1" applyFont="1" applyFill="1" applyAlignment="1" applyProtection="1">
      <alignment horizontal="right" vertical="center"/>
      <protection hidden="1"/>
    </xf>
    <xf numFmtId="165" fontId="22" fillId="2" borderId="0" xfId="0" applyNumberFormat="1" applyFont="1" applyFill="1" applyAlignment="1" applyProtection="1">
      <alignment horizontal="right" vertical="center"/>
      <protection hidden="1"/>
    </xf>
    <xf numFmtId="1" fontId="21" fillId="2" borderId="1" xfId="0" applyNumberFormat="1" applyFont="1" applyFill="1" applyBorder="1" applyAlignment="1" applyProtection="1">
      <alignment vertical="center"/>
      <protection hidden="1"/>
    </xf>
    <xf numFmtId="0" fontId="26" fillId="0" borderId="13" xfId="6" applyFont="1" applyFill="1" applyBorder="1" applyProtection="1">
      <protection hidden="1"/>
    </xf>
    <xf numFmtId="0" fontId="17" fillId="2" borderId="0" xfId="0" quotePrefix="1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 wrapText="1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1" fontId="21" fillId="2" borderId="68" xfId="0" applyNumberFormat="1" applyFont="1" applyFill="1" applyBorder="1" applyAlignment="1" applyProtection="1">
      <alignment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5" fillId="2" borderId="42" xfId="0" applyFont="1" applyFill="1" applyBorder="1"/>
    <xf numFmtId="0" fontId="35" fillId="2" borderId="68" xfId="0" applyFont="1" applyFill="1" applyBorder="1"/>
    <xf numFmtId="0" fontId="35" fillId="2" borderId="85" xfId="0" applyFont="1" applyFill="1" applyBorder="1"/>
    <xf numFmtId="0" fontId="17" fillId="17" borderId="4" xfId="0" applyFont="1" applyFill="1" applyBorder="1" applyAlignment="1">
      <alignment horizontal="center" vertical="center" wrapText="1"/>
    </xf>
    <xf numFmtId="0" fontId="26" fillId="0" borderId="46" xfId="6" applyFont="1" applyFill="1" applyBorder="1" applyProtection="1"/>
    <xf numFmtId="0" fontId="0" fillId="22" borderId="3" xfId="0" applyFill="1" applyBorder="1" applyAlignment="1">
      <alignment horizontal="center" vertical="center" wrapText="1"/>
    </xf>
    <xf numFmtId="0" fontId="0" fillId="21" borderId="3" xfId="0" applyFill="1" applyBorder="1" applyAlignment="1">
      <alignment horizontal="center" vertical="center" wrapText="1"/>
    </xf>
    <xf numFmtId="0" fontId="0" fillId="19" borderId="3" xfId="0" applyFill="1" applyBorder="1" applyAlignment="1">
      <alignment horizontal="center" vertical="center" wrapText="1"/>
    </xf>
    <xf numFmtId="0" fontId="0" fillId="20" borderId="3" xfId="0" applyFill="1" applyBorder="1" applyAlignment="1">
      <alignment horizontal="center" vertical="center" wrapText="1"/>
    </xf>
    <xf numFmtId="1" fontId="21" fillId="2" borderId="5" xfId="0" applyNumberFormat="1" applyFont="1" applyFill="1" applyBorder="1" applyAlignment="1">
      <alignment vertical="center"/>
    </xf>
    <xf numFmtId="0" fontId="43" fillId="0" borderId="0" xfId="6" applyFont="1" applyFill="1"/>
    <xf numFmtId="2" fontId="14" fillId="2" borderId="1" xfId="0" applyNumberFormat="1" applyFont="1" applyFill="1" applyBorder="1" applyAlignment="1">
      <alignment vertical="center"/>
    </xf>
    <xf numFmtId="2" fontId="14" fillId="2" borderId="1" xfId="0" applyNumberFormat="1" applyFont="1" applyFill="1" applyBorder="1" applyAlignment="1" applyProtection="1">
      <alignment vertical="center"/>
      <protection hidden="1"/>
    </xf>
    <xf numFmtId="2" fontId="14" fillId="2" borderId="68" xfId="0" applyNumberFormat="1" applyFont="1" applyFill="1" applyBorder="1" applyAlignment="1" applyProtection="1">
      <alignment vertical="center"/>
      <protection hidden="1"/>
    </xf>
    <xf numFmtId="2" fontId="14" fillId="2" borderId="68" xfId="0" applyNumberFormat="1" applyFont="1" applyFill="1" applyBorder="1" applyAlignment="1">
      <alignment vertical="center"/>
    </xf>
    <xf numFmtId="2" fontId="21" fillId="2" borderId="1" xfId="0" applyNumberFormat="1" applyFont="1" applyFill="1" applyBorder="1" applyAlignment="1">
      <alignment vertical="center"/>
    </xf>
    <xf numFmtId="9" fontId="16" fillId="24" borderId="10" xfId="10" applyNumberFormat="1" applyBorder="1" applyAlignment="1" applyProtection="1">
      <alignment horizontal="center"/>
      <protection locked="0"/>
    </xf>
    <xf numFmtId="0" fontId="29" fillId="25" borderId="0" xfId="0" applyFont="1" applyFill="1" applyProtection="1">
      <protection locked="0"/>
    </xf>
    <xf numFmtId="0" fontId="21" fillId="0" borderId="30" xfId="0" applyFont="1" applyBorder="1"/>
    <xf numFmtId="0" fontId="21" fillId="0" borderId="13" xfId="0" applyFont="1" applyBorder="1"/>
    <xf numFmtId="0" fontId="21" fillId="0" borderId="46" xfId="0" applyFont="1" applyBorder="1"/>
    <xf numFmtId="0" fontId="21" fillId="0" borderId="93" xfId="0" applyFont="1" applyBorder="1"/>
    <xf numFmtId="0" fontId="21" fillId="0" borderId="94" xfId="0" applyFont="1" applyBorder="1"/>
    <xf numFmtId="0" fontId="29" fillId="0" borderId="0" xfId="0" applyFont="1" applyProtection="1">
      <protection locked="0"/>
    </xf>
    <xf numFmtId="0" fontId="22" fillId="26" borderId="3" xfId="0" applyFont="1" applyFill="1" applyBorder="1" applyAlignment="1">
      <alignment horizontal="center" vertical="center" wrapText="1"/>
    </xf>
    <xf numFmtId="165" fontId="0" fillId="0" borderId="43" xfId="0" applyNumberFormat="1" applyBorder="1" applyAlignment="1">
      <alignment horizontal="center"/>
    </xf>
    <xf numFmtId="0" fontId="14" fillId="16" borderId="80" xfId="6" applyFont="1" applyFill="1" applyBorder="1" applyAlignment="1" applyProtection="1">
      <alignment vertical="center"/>
    </xf>
    <xf numFmtId="0" fontId="14" fillId="16" borderId="79" xfId="0" applyFont="1" applyFill="1" applyBorder="1" applyAlignment="1">
      <alignment horizontal="center" vertical="center"/>
    </xf>
    <xf numFmtId="0" fontId="14" fillId="16" borderId="79" xfId="0" applyFont="1" applyFill="1" applyBorder="1" applyAlignment="1">
      <alignment horizontal="center" vertical="center" wrapText="1"/>
    </xf>
    <xf numFmtId="0" fontId="21" fillId="16" borderId="42" xfId="0" quotePrefix="1" applyFont="1" applyFill="1" applyBorder="1" applyAlignment="1">
      <alignment horizontal="left" vertical="center"/>
    </xf>
    <xf numFmtId="0" fontId="14" fillId="16" borderId="79" xfId="0" quotePrefix="1" applyFont="1" applyFill="1" applyBorder="1" applyAlignment="1">
      <alignment horizontal="center" vertical="center"/>
    </xf>
    <xf numFmtId="165" fontId="14" fillId="16" borderId="0" xfId="0" applyNumberFormat="1" applyFont="1" applyFill="1" applyAlignment="1">
      <alignment horizontal="right" vertical="center"/>
    </xf>
    <xf numFmtId="1" fontId="21" fillId="16" borderId="0" xfId="0" applyNumberFormat="1" applyFont="1" applyFill="1" applyAlignment="1">
      <alignment vertical="center"/>
    </xf>
    <xf numFmtId="0" fontId="21" fillId="16" borderId="0" xfId="0" applyFont="1" applyFill="1"/>
    <xf numFmtId="0" fontId="21" fillId="2" borderId="6" xfId="0" applyFont="1" applyFill="1" applyBorder="1"/>
    <xf numFmtId="0" fontId="21" fillId="2" borderId="30" xfId="0" applyFont="1" applyFill="1" applyBorder="1"/>
    <xf numFmtId="0" fontId="22" fillId="16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6" applyFont="1" applyFill="1" applyBorder="1" applyAlignment="1" applyProtection="1">
      <alignment vertical="center"/>
    </xf>
    <xf numFmtId="1" fontId="14" fillId="2" borderId="14" xfId="0" applyNumberFormat="1" applyFont="1" applyFill="1" applyBorder="1" applyAlignment="1">
      <alignment vertical="center"/>
    </xf>
    <xf numFmtId="2" fontId="14" fillId="2" borderId="14" xfId="0" applyNumberFormat="1" applyFont="1" applyFill="1" applyBorder="1" applyAlignment="1">
      <alignment vertical="center"/>
    </xf>
    <xf numFmtId="0" fontId="29" fillId="14" borderId="0" xfId="0" applyFont="1" applyFill="1" applyAlignment="1">
      <alignment horizontal="center" wrapText="1"/>
    </xf>
    <xf numFmtId="165" fontId="21" fillId="16" borderId="0" xfId="0" applyNumberFormat="1" applyFont="1" applyFill="1"/>
    <xf numFmtId="0" fontId="14" fillId="16" borderId="29" xfId="0" applyFont="1" applyFill="1" applyBorder="1" applyAlignment="1">
      <alignment vertical="center"/>
    </xf>
    <xf numFmtId="0" fontId="22" fillId="16" borderId="9" xfId="1" applyFont="1" applyFill="1" applyBorder="1" applyAlignment="1">
      <alignment horizontal="center" vertical="center"/>
    </xf>
    <xf numFmtId="0" fontId="17" fillId="16" borderId="9" xfId="1" applyFont="1" applyFill="1" applyBorder="1" applyAlignment="1">
      <alignment horizontal="center" vertical="center"/>
    </xf>
    <xf numFmtId="0" fontId="14" fillId="16" borderId="9" xfId="1" applyFont="1" applyFill="1" applyBorder="1" applyAlignment="1">
      <alignment horizontal="center" vertical="center" wrapText="1"/>
    </xf>
    <xf numFmtId="0" fontId="14" fillId="16" borderId="9" xfId="1" applyFont="1" applyFill="1" applyBorder="1" applyAlignment="1">
      <alignment horizontal="center" vertical="center"/>
    </xf>
    <xf numFmtId="165" fontId="14" fillId="16" borderId="9" xfId="1" applyNumberFormat="1" applyFont="1" applyFill="1" applyBorder="1" applyAlignment="1">
      <alignment horizontal="right" vertical="center"/>
    </xf>
    <xf numFmtId="1" fontId="14" fillId="16" borderId="29" xfId="0" applyNumberFormat="1" applyFont="1" applyFill="1" applyBorder="1" applyAlignment="1">
      <alignment vertical="center"/>
    </xf>
    <xf numFmtId="2" fontId="14" fillId="16" borderId="29" xfId="0" applyNumberFormat="1" applyFont="1" applyFill="1" applyBorder="1" applyAlignment="1">
      <alignment vertical="center"/>
    </xf>
    <xf numFmtId="0" fontId="14" fillId="16" borderId="45" xfId="0" applyFont="1" applyFill="1" applyBorder="1" applyAlignment="1">
      <alignment vertical="center"/>
    </xf>
    <xf numFmtId="2" fontId="14" fillId="16" borderId="19" xfId="0" applyNumberFormat="1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22" fillId="2" borderId="0" xfId="1" applyFont="1" applyFill="1" applyAlignment="1">
      <alignment horizontal="center" vertical="center"/>
    </xf>
    <xf numFmtId="0" fontId="17" fillId="2" borderId="0" xfId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165" fontId="14" fillId="2" borderId="0" xfId="1" applyNumberFormat="1" applyFont="1" applyFill="1" applyAlignment="1">
      <alignment horizontal="right" vertical="center"/>
    </xf>
    <xf numFmtId="0" fontId="26" fillId="2" borderId="0" xfId="6" applyFont="1" applyFill="1" applyBorder="1" applyAlignment="1" applyProtection="1">
      <alignment vertical="center"/>
    </xf>
    <xf numFmtId="0" fontId="14" fillId="2" borderId="53" xfId="6" applyFont="1" applyFill="1" applyBorder="1" applyAlignment="1" applyProtection="1">
      <alignment vertical="center"/>
    </xf>
    <xf numFmtId="165" fontId="21" fillId="0" borderId="53" xfId="0" applyNumberFormat="1" applyFont="1" applyBorder="1"/>
    <xf numFmtId="0" fontId="14" fillId="2" borderId="29" xfId="6" applyFont="1" applyFill="1" applyBorder="1" applyAlignment="1" applyProtection="1">
      <alignment vertical="center"/>
    </xf>
    <xf numFmtId="0" fontId="22" fillId="2" borderId="29" xfId="0" quotePrefix="1" applyFont="1" applyFill="1" applyBorder="1" applyAlignment="1">
      <alignment horizontal="center" vertical="center"/>
    </xf>
    <xf numFmtId="0" fontId="17" fillId="2" borderId="29" xfId="0" quotePrefix="1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/>
    </xf>
    <xf numFmtId="165" fontId="21" fillId="0" borderId="29" xfId="0" applyNumberFormat="1" applyFont="1" applyBorder="1"/>
    <xf numFmtId="1" fontId="21" fillId="2" borderId="14" xfId="0" applyNumberFormat="1" applyFont="1" applyFill="1" applyBorder="1" applyAlignment="1">
      <alignment vertical="center"/>
    </xf>
    <xf numFmtId="0" fontId="17" fillId="2" borderId="53" xfId="0" quotePrefix="1" applyFont="1" applyFill="1" applyBorder="1" applyAlignment="1">
      <alignment horizontal="center" vertical="center"/>
    </xf>
    <xf numFmtId="1" fontId="14" fillId="16" borderId="25" xfId="0" applyNumberFormat="1" applyFont="1" applyFill="1" applyBorder="1" applyAlignment="1">
      <alignment vertical="center"/>
    </xf>
    <xf numFmtId="0" fontId="21" fillId="2" borderId="19" xfId="0" applyFont="1" applyFill="1" applyBorder="1"/>
    <xf numFmtId="0" fontId="26" fillId="0" borderId="13" xfId="0" applyFont="1" applyBorder="1" applyAlignment="1">
      <alignment vertical="center"/>
    </xf>
    <xf numFmtId="0" fontId="22" fillId="2" borderId="0" xfId="0" applyFont="1" applyFill="1" applyAlignment="1">
      <alignment horizontal="center"/>
    </xf>
    <xf numFmtId="165" fontId="21" fillId="0" borderId="95" xfId="0" applyNumberFormat="1" applyFont="1" applyBorder="1"/>
    <xf numFmtId="165" fontId="14" fillId="2" borderId="95" xfId="0" applyNumberFormat="1" applyFont="1" applyFill="1" applyBorder="1" applyAlignment="1">
      <alignment horizontal="right" vertical="center"/>
    </xf>
    <xf numFmtId="0" fontId="21" fillId="2" borderId="0" xfId="0" applyFont="1" applyFill="1" applyAlignment="1">
      <alignment horizontal="left" wrapText="1"/>
    </xf>
    <xf numFmtId="1" fontId="14" fillId="16" borderId="0" xfId="0" applyNumberFormat="1" applyFont="1" applyFill="1" applyAlignment="1" applyProtection="1">
      <alignment vertical="center"/>
      <protection locked="0"/>
    </xf>
    <xf numFmtId="1" fontId="21" fillId="2" borderId="0" xfId="0" applyNumberFormat="1" applyFont="1" applyFill="1" applyAlignment="1" applyProtection="1">
      <alignment vertical="center"/>
      <protection locked="0"/>
    </xf>
    <xf numFmtId="0" fontId="14" fillId="16" borderId="0" xfId="0" applyFont="1" applyFill="1" applyAlignment="1" applyProtection="1">
      <alignment horizontal="center" vertical="center" wrapText="1"/>
      <protection locked="0"/>
    </xf>
    <xf numFmtId="1" fontId="21" fillId="18" borderId="0" xfId="0" applyNumberFormat="1" applyFont="1" applyFill="1" applyAlignment="1" applyProtection="1">
      <alignment vertical="center"/>
      <protection locked="0"/>
    </xf>
    <xf numFmtId="1" fontId="21" fillId="2" borderId="53" xfId="0" applyNumberFormat="1" applyFont="1" applyFill="1" applyBorder="1" applyAlignment="1" applyProtection="1">
      <alignment vertical="center"/>
      <protection locked="0"/>
    </xf>
    <xf numFmtId="1" fontId="21" fillId="2" borderId="8" xfId="0" applyNumberFormat="1" applyFont="1" applyFill="1" applyBorder="1" applyAlignment="1" applyProtection="1">
      <alignment vertical="center"/>
      <protection locked="0"/>
    </xf>
    <xf numFmtId="1" fontId="21" fillId="2" borderId="9" xfId="0" applyNumberFormat="1" applyFont="1" applyFill="1" applyBorder="1" applyAlignment="1" applyProtection="1">
      <alignment vertical="center"/>
      <protection locked="0"/>
    </xf>
    <xf numFmtId="1" fontId="21" fillId="16" borderId="0" xfId="0" applyNumberFormat="1" applyFont="1" applyFill="1" applyAlignment="1" applyProtection="1">
      <alignment vertical="center"/>
      <protection locked="0"/>
    </xf>
    <xf numFmtId="0" fontId="21" fillId="0" borderId="3" xfId="0" applyFont="1" applyBorder="1" applyAlignment="1">
      <alignment horizontal="center" vertical="center"/>
    </xf>
    <xf numFmtId="0" fontId="14" fillId="16" borderId="0" xfId="0" applyFont="1" applyFill="1" applyAlignment="1">
      <alignment horizontal="center" vertical="center" wrapText="1"/>
    </xf>
    <xf numFmtId="0" fontId="44" fillId="0" borderId="0" xfId="0" applyFont="1" applyAlignment="1" applyProtection="1">
      <alignment horizontal="center"/>
      <protection locked="0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2" fillId="2" borderId="0" xfId="0" applyFont="1" applyFill="1" applyAlignment="1">
      <alignment horizontal="center" vertical="center"/>
    </xf>
    <xf numFmtId="0" fontId="14" fillId="16" borderId="13" xfId="0" applyFont="1" applyFill="1" applyBorder="1" applyAlignment="1">
      <alignment vertical="center"/>
    </xf>
    <xf numFmtId="0" fontId="22" fillId="16" borderId="0" xfId="0" applyFont="1" applyFill="1" applyAlignment="1">
      <alignment horizontal="center" vertical="center"/>
    </xf>
    <xf numFmtId="0" fontId="17" fillId="16" borderId="0" xfId="0" applyFont="1" applyFill="1" applyAlignment="1">
      <alignment horizontal="center" vertical="center"/>
    </xf>
    <xf numFmtId="0" fontId="14" fillId="16" borderId="0" xfId="0" applyFont="1" applyFill="1" applyAlignment="1">
      <alignment horizontal="center" vertical="center"/>
    </xf>
    <xf numFmtId="1" fontId="21" fillId="16" borderId="68" xfId="0" applyNumberFormat="1" applyFont="1" applyFill="1" applyBorder="1" applyAlignment="1">
      <alignment vertical="center"/>
    </xf>
    <xf numFmtId="0" fontId="45" fillId="16" borderId="0" xfId="1" applyFont="1" applyFill="1" applyAlignment="1" applyProtection="1">
      <alignment horizontal="center" vertical="center" wrapText="1"/>
      <protection locked="0"/>
    </xf>
    <xf numFmtId="0" fontId="33" fillId="0" borderId="0" xfId="0" applyFont="1" applyAlignment="1">
      <alignment horizontal="center" vertical="center"/>
    </xf>
    <xf numFmtId="0" fontId="21" fillId="2" borderId="0" xfId="0" applyFont="1" applyFill="1" applyAlignment="1">
      <alignment horizontal="center" wrapText="1"/>
    </xf>
    <xf numFmtId="0" fontId="22" fillId="16" borderId="0" xfId="0" applyFont="1" applyFill="1" applyAlignment="1">
      <alignment horizontal="center"/>
    </xf>
    <xf numFmtId="10" fontId="14" fillId="16" borderId="0" xfId="0" applyNumberFormat="1" applyFont="1" applyFill="1" applyAlignment="1">
      <alignment horizontal="right" vertical="center"/>
    </xf>
    <xf numFmtId="165" fontId="22" fillId="16" borderId="0" xfId="0" applyNumberFormat="1" applyFont="1" applyFill="1" applyAlignment="1">
      <alignment horizontal="right" vertical="center"/>
    </xf>
    <xf numFmtId="165" fontId="14" fillId="16" borderId="0" xfId="0" applyNumberFormat="1" applyFont="1" applyFill="1" applyAlignment="1">
      <alignment vertical="center"/>
    </xf>
    <xf numFmtId="0" fontId="26" fillId="16" borderId="13" xfId="6" applyFont="1" applyFill="1" applyBorder="1" applyAlignment="1" applyProtection="1">
      <alignment vertical="center"/>
    </xf>
    <xf numFmtId="165" fontId="19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21" fillId="16" borderId="1" xfId="0" applyNumberFormat="1" applyFont="1" applyFill="1" applyBorder="1" applyAlignment="1">
      <alignment vertical="center"/>
    </xf>
    <xf numFmtId="1" fontId="21" fillId="2" borderId="79" xfId="0" applyNumberFormat="1" applyFont="1" applyFill="1" applyBorder="1" applyAlignment="1" applyProtection="1">
      <alignment vertical="center"/>
      <protection locked="0"/>
    </xf>
    <xf numFmtId="1" fontId="21" fillId="2" borderId="96" xfId="0" applyNumberFormat="1" applyFont="1" applyFill="1" applyBorder="1" applyAlignment="1" applyProtection="1">
      <alignment vertical="center"/>
      <protection locked="0"/>
    </xf>
    <xf numFmtId="165" fontId="14" fillId="2" borderId="29" xfId="0" applyNumberFormat="1" applyFont="1" applyFill="1" applyBorder="1" applyAlignment="1">
      <alignment horizontal="right" vertical="center"/>
    </xf>
    <xf numFmtId="1" fontId="14" fillId="16" borderId="68" xfId="0" applyNumberFormat="1" applyFont="1" applyFill="1" applyBorder="1" applyAlignment="1">
      <alignment vertical="center"/>
    </xf>
    <xf numFmtId="0" fontId="32" fillId="16" borderId="9" xfId="1" applyFont="1" applyFill="1" applyBorder="1" applyAlignment="1">
      <alignment horizontal="center" vertical="center"/>
    </xf>
    <xf numFmtId="0" fontId="32" fillId="16" borderId="42" xfId="0" quotePrefix="1" applyFont="1" applyFill="1" applyBorder="1" applyAlignment="1">
      <alignment horizontal="left" vertical="center"/>
    </xf>
    <xf numFmtId="0" fontId="27" fillId="0" borderId="0" xfId="0" applyFont="1"/>
    <xf numFmtId="0" fontId="14" fillId="2" borderId="6" xfId="6" applyFont="1" applyFill="1" applyBorder="1" applyAlignment="1">
      <alignment vertical="center"/>
    </xf>
    <xf numFmtId="0" fontId="14" fillId="2" borderId="46" xfId="6" applyFont="1" applyFill="1" applyBorder="1" applyAlignment="1">
      <alignment vertical="center"/>
    </xf>
    <xf numFmtId="0" fontId="14" fillId="2" borderId="13" xfId="6" applyFont="1" applyFill="1" applyBorder="1" applyAlignment="1">
      <alignment vertical="center"/>
    </xf>
    <xf numFmtId="0" fontId="14" fillId="0" borderId="0" xfId="6" applyFont="1" applyFill="1"/>
    <xf numFmtId="6" fontId="14" fillId="0" borderId="0" xfId="0" applyNumberFormat="1" applyFont="1"/>
    <xf numFmtId="0" fontId="14" fillId="0" borderId="0" xfId="0" applyFont="1" applyAlignment="1">
      <alignment horizontal="center"/>
    </xf>
    <xf numFmtId="0" fontId="22" fillId="27" borderId="8" xfId="0" applyFont="1" applyFill="1" applyBorder="1" applyAlignment="1" applyProtection="1">
      <alignment horizontal="center" vertical="center" wrapText="1"/>
      <protection locked="0"/>
    </xf>
    <xf numFmtId="0" fontId="22" fillId="30" borderId="8" xfId="0" applyFont="1" applyFill="1" applyBorder="1" applyAlignment="1" applyProtection="1">
      <alignment horizontal="center" vertical="center" wrapText="1"/>
      <protection locked="0"/>
    </xf>
    <xf numFmtId="0" fontId="22" fillId="33" borderId="8" xfId="0" applyFont="1" applyFill="1" applyBorder="1" applyAlignment="1" applyProtection="1">
      <alignment horizontal="center" vertical="center" wrapText="1"/>
      <protection locked="0"/>
    </xf>
    <xf numFmtId="0" fontId="24" fillId="20" borderId="9" xfId="0" applyFont="1" applyFill="1" applyBorder="1" applyAlignment="1" applyProtection="1">
      <alignment horizontal="center" vertical="center" wrapText="1"/>
      <protection locked="0"/>
    </xf>
    <xf numFmtId="0" fontId="24" fillId="37" borderId="9" xfId="0" applyFont="1" applyFill="1" applyBorder="1" applyAlignment="1" applyProtection="1">
      <alignment horizontal="center" vertical="center" wrapText="1"/>
      <protection locked="0"/>
    </xf>
    <xf numFmtId="0" fontId="24" fillId="21" borderId="9" xfId="0" applyFont="1" applyFill="1" applyBorder="1" applyAlignment="1" applyProtection="1">
      <alignment horizontal="center" vertical="center" wrapText="1"/>
      <protection locked="0"/>
    </xf>
    <xf numFmtId="0" fontId="24" fillId="38" borderId="9" xfId="0" applyFont="1" applyFill="1" applyBorder="1" applyAlignment="1" applyProtection="1">
      <alignment horizontal="center" vertical="center" wrapText="1"/>
      <protection locked="0"/>
    </xf>
    <xf numFmtId="0" fontId="22" fillId="28" borderId="8" xfId="0" applyFont="1" applyFill="1" applyBorder="1" applyAlignment="1">
      <alignment horizontal="center" vertical="center" wrapText="1"/>
    </xf>
    <xf numFmtId="0" fontId="22" fillId="29" borderId="8" xfId="0" applyFont="1" applyFill="1" applyBorder="1" applyAlignment="1">
      <alignment horizontal="center" vertical="center" wrapText="1"/>
    </xf>
    <xf numFmtId="0" fontId="22" fillId="30" borderId="8" xfId="0" applyFont="1" applyFill="1" applyBorder="1" applyAlignment="1">
      <alignment horizontal="center" vertical="center" wrapText="1"/>
    </xf>
    <xf numFmtId="0" fontId="22" fillId="31" borderId="8" xfId="0" applyFont="1" applyFill="1" applyBorder="1" applyAlignment="1">
      <alignment horizontal="center" vertical="center" wrapText="1"/>
    </xf>
    <xf numFmtId="0" fontId="22" fillId="32" borderId="8" xfId="0" applyFont="1" applyFill="1" applyBorder="1" applyAlignment="1">
      <alignment horizontal="center" vertical="center" wrapText="1"/>
    </xf>
    <xf numFmtId="0" fontId="22" fillId="33" borderId="8" xfId="0" applyFont="1" applyFill="1" applyBorder="1" applyAlignment="1">
      <alignment horizontal="center" vertical="center" wrapText="1"/>
    </xf>
    <xf numFmtId="0" fontId="22" fillId="34" borderId="8" xfId="0" applyFont="1" applyFill="1" applyBorder="1" applyAlignment="1">
      <alignment horizontal="center" vertical="center" wrapText="1"/>
    </xf>
    <xf numFmtId="0" fontId="18" fillId="36" borderId="79" xfId="0" applyFont="1" applyFill="1" applyBorder="1" applyAlignment="1">
      <alignment horizontal="center" vertical="center" wrapText="1"/>
    </xf>
    <xf numFmtId="0" fontId="18" fillId="36" borderId="0" xfId="0" applyFont="1" applyFill="1" applyAlignment="1" applyProtection="1">
      <alignment horizontal="center" vertical="center" wrapText="1"/>
      <protection locked="0"/>
    </xf>
    <xf numFmtId="0" fontId="18" fillId="36" borderId="97" xfId="0" applyFont="1" applyFill="1" applyBorder="1" applyAlignment="1">
      <alignment horizontal="center" vertical="center" wrapText="1"/>
    </xf>
    <xf numFmtId="0" fontId="18" fillId="35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18" fillId="16" borderId="9" xfId="1" applyFont="1" applyFill="1" applyBorder="1" applyAlignment="1">
      <alignment horizontal="center" vertical="center" wrapText="1"/>
    </xf>
    <xf numFmtId="0" fontId="18" fillId="16" borderId="9" xfId="1" applyFont="1" applyFill="1" applyBorder="1" applyAlignment="1" applyProtection="1">
      <alignment horizontal="center" vertical="center" wrapText="1"/>
      <protection locked="0"/>
    </xf>
    <xf numFmtId="0" fontId="18" fillId="13" borderId="9" xfId="0" applyFont="1" applyFill="1" applyBorder="1" applyAlignment="1">
      <alignment horizontal="center" vertical="center" wrapText="1"/>
    </xf>
    <xf numFmtId="0" fontId="18" fillId="16" borderId="8" xfId="1" applyFont="1" applyFill="1" applyBorder="1" applyAlignment="1">
      <alignment horizontal="center" vertical="center" wrapText="1"/>
    </xf>
    <xf numFmtId="0" fontId="18" fillId="16" borderId="8" xfId="1" applyFont="1" applyFill="1" applyBorder="1" applyAlignment="1" applyProtection="1">
      <alignment horizontal="center" vertical="center" wrapText="1"/>
      <protection locked="0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8" fillId="16" borderId="0" xfId="1" applyFont="1" applyFill="1" applyAlignment="1">
      <alignment horizontal="center" vertical="center" wrapText="1"/>
    </xf>
    <xf numFmtId="1" fontId="34" fillId="16" borderId="0" xfId="0" applyNumberFormat="1" applyFont="1" applyFill="1" applyAlignment="1" applyProtection="1">
      <alignment vertical="center"/>
      <protection locked="0"/>
    </xf>
    <xf numFmtId="0" fontId="13" fillId="0" borderId="0" xfId="0" applyFont="1"/>
    <xf numFmtId="0" fontId="18" fillId="4" borderId="9" xfId="0" applyFont="1" applyFill="1" applyBorder="1" applyAlignment="1" applyProtection="1">
      <alignment horizontal="center" vertical="center" wrapText="1"/>
      <protection locked="0"/>
    </xf>
    <xf numFmtId="0" fontId="18" fillId="13" borderId="9" xfId="0" applyFont="1" applyFill="1" applyBorder="1" applyAlignment="1" applyProtection="1">
      <alignment horizontal="center" vertical="center" wrapText="1"/>
      <protection locked="0"/>
    </xf>
    <xf numFmtId="0" fontId="48" fillId="39" borderId="8" xfId="0" applyFont="1" applyFill="1" applyBorder="1" applyAlignment="1" applyProtection="1">
      <alignment horizontal="center" vertical="center" wrapText="1"/>
      <protection locked="0"/>
    </xf>
    <xf numFmtId="0" fontId="22" fillId="40" borderId="8" xfId="0" applyFont="1" applyFill="1" applyBorder="1" applyAlignment="1" applyProtection="1">
      <alignment horizontal="center" vertical="center" wrapText="1"/>
      <protection locked="0"/>
    </xf>
    <xf numFmtId="0" fontId="22" fillId="41" borderId="8" xfId="0" applyFont="1" applyFill="1" applyBorder="1" applyAlignment="1" applyProtection="1">
      <alignment horizontal="center" vertical="center" wrapText="1"/>
      <protection locked="0"/>
    </xf>
    <xf numFmtId="0" fontId="22" fillId="42" borderId="8" xfId="0" applyFont="1" applyFill="1" applyBorder="1" applyAlignment="1" applyProtection="1">
      <alignment horizontal="center" vertical="center" wrapText="1"/>
      <protection locked="0"/>
    </xf>
    <xf numFmtId="0" fontId="18" fillId="43" borderId="8" xfId="0" applyFont="1" applyFill="1" applyBorder="1" applyAlignment="1" applyProtection="1">
      <alignment horizontal="center" vertical="center" wrapText="1"/>
      <protection locked="0"/>
    </xf>
    <xf numFmtId="0" fontId="22" fillId="44" borderId="8" xfId="0" applyFont="1" applyFill="1" applyBorder="1" applyAlignment="1" applyProtection="1">
      <alignment horizontal="center" vertical="center" wrapText="1"/>
      <protection locked="0"/>
    </xf>
    <xf numFmtId="0" fontId="22" fillId="40" borderId="8" xfId="0" applyFont="1" applyFill="1" applyBorder="1" applyAlignment="1">
      <alignment horizontal="center" vertical="center" wrapText="1"/>
    </xf>
    <xf numFmtId="0" fontId="48" fillId="39" borderId="8" xfId="0" applyFont="1" applyFill="1" applyBorder="1" applyAlignment="1">
      <alignment horizontal="center" vertical="center" wrapText="1"/>
    </xf>
    <xf numFmtId="0" fontId="22" fillId="41" borderId="8" xfId="0" applyFont="1" applyFill="1" applyBorder="1" applyAlignment="1">
      <alignment horizontal="center" vertical="center" wrapText="1"/>
    </xf>
    <xf numFmtId="0" fontId="22" fillId="42" borderId="8" xfId="0" applyFont="1" applyFill="1" applyBorder="1" applyAlignment="1">
      <alignment horizontal="center" vertical="center" wrapText="1"/>
    </xf>
    <xf numFmtId="0" fontId="22" fillId="44" borderId="8" xfId="0" applyFont="1" applyFill="1" applyBorder="1" applyAlignment="1">
      <alignment horizontal="center" vertical="center" wrapText="1"/>
    </xf>
    <xf numFmtId="0" fontId="18" fillId="43" borderId="8" xfId="0" applyFont="1" applyFill="1" applyBorder="1" applyAlignment="1">
      <alignment horizontal="center" vertical="center" wrapText="1"/>
    </xf>
    <xf numFmtId="165" fontId="14" fillId="9" borderId="25" xfId="0" applyNumberFormat="1" applyFont="1" applyFill="1" applyBorder="1" applyAlignment="1">
      <alignment vertical="center"/>
    </xf>
    <xf numFmtId="0" fontId="22" fillId="13" borderId="9" xfId="1" applyFont="1" applyFill="1" applyBorder="1" applyAlignment="1">
      <alignment horizontal="center" vertical="center" wrapText="1"/>
    </xf>
    <xf numFmtId="0" fontId="17" fillId="16" borderId="8" xfId="1" applyFont="1" applyFill="1" applyBorder="1" applyAlignment="1" applyProtection="1">
      <alignment horizontal="center" vertical="center" wrapText="1"/>
      <protection locked="0"/>
    </xf>
    <xf numFmtId="0" fontId="21" fillId="18" borderId="0" xfId="0" applyFont="1" applyFill="1" applyAlignment="1" applyProtection="1">
      <alignment vertical="center"/>
      <protection locked="0"/>
    </xf>
    <xf numFmtId="0" fontId="22" fillId="45" borderId="8" xfId="0" applyFont="1" applyFill="1" applyBorder="1" applyAlignment="1">
      <alignment horizontal="center" vertical="center" wrapText="1"/>
    </xf>
    <xf numFmtId="0" fontId="22" fillId="45" borderId="8" xfId="0" applyFont="1" applyFill="1" applyBorder="1" applyAlignment="1" applyProtection="1">
      <alignment horizontal="center" vertical="center" wrapText="1"/>
      <protection locked="0"/>
    </xf>
    <xf numFmtId="0" fontId="17" fillId="39" borderId="8" xfId="0" applyFont="1" applyFill="1" applyBorder="1" applyAlignment="1">
      <alignment horizontal="center" vertical="center" wrapText="1"/>
    </xf>
    <xf numFmtId="10" fontId="0" fillId="0" borderId="0" xfId="0" applyNumberFormat="1"/>
    <xf numFmtId="0" fontId="17" fillId="14" borderId="0" xfId="0" applyFont="1" applyFill="1" applyAlignment="1">
      <alignment horizontal="center" vertical="center" wrapText="1"/>
    </xf>
    <xf numFmtId="0" fontId="22" fillId="39" borderId="8" xfId="0" applyFont="1" applyFill="1" applyBorder="1" applyAlignment="1" applyProtection="1">
      <alignment horizontal="center" vertical="center" wrapText="1"/>
      <protection locked="0"/>
    </xf>
    <xf numFmtId="0" fontId="0" fillId="45" borderId="8" xfId="0" applyFill="1" applyBorder="1" applyAlignment="1">
      <alignment horizontal="center" vertical="center" wrapText="1"/>
    </xf>
    <xf numFmtId="0" fontId="22" fillId="39" borderId="8" xfId="0" applyFont="1" applyFill="1" applyBorder="1" applyAlignment="1">
      <alignment horizontal="center" vertical="center" wrapText="1"/>
    </xf>
    <xf numFmtId="0" fontId="18" fillId="36" borderId="0" xfId="0" applyFont="1" applyFill="1" applyAlignment="1">
      <alignment horizontal="center" vertical="center" wrapText="1"/>
    </xf>
    <xf numFmtId="0" fontId="22" fillId="0" borderId="0" xfId="0" applyFont="1" applyAlignment="1" applyProtection="1">
      <alignment horizontal="center" vertical="center" wrapText="1"/>
      <protection locked="0"/>
    </xf>
    <xf numFmtId="0" fontId="18" fillId="14" borderId="20" xfId="0" applyFont="1" applyFill="1" applyBorder="1" applyAlignment="1">
      <alignment horizontal="center" vertical="center" wrapText="1"/>
    </xf>
    <xf numFmtId="167" fontId="0" fillId="0" borderId="0" xfId="0" applyNumberFormat="1"/>
    <xf numFmtId="167" fontId="21" fillId="9" borderId="23" xfId="4" applyNumberFormat="1" applyFont="1" applyFill="1" applyBorder="1" applyAlignment="1" applyProtection="1">
      <alignment vertical="center"/>
    </xf>
    <xf numFmtId="167" fontId="21" fillId="0" borderId="0" xfId="0" applyNumberFormat="1" applyFont="1"/>
    <xf numFmtId="167" fontId="18" fillId="14" borderId="20" xfId="0" applyNumberFormat="1" applyFont="1" applyFill="1" applyBorder="1" applyAlignment="1">
      <alignment horizontal="center" vertical="center" wrapText="1"/>
    </xf>
    <xf numFmtId="167" fontId="14" fillId="16" borderId="29" xfId="0" applyNumberFormat="1" applyFont="1" applyFill="1" applyBorder="1" applyAlignment="1">
      <alignment horizontal="center" vertical="center" wrapText="1"/>
    </xf>
    <xf numFmtId="167" fontId="17" fillId="2" borderId="0" xfId="0" applyNumberFormat="1" applyFont="1" applyFill="1" applyAlignment="1">
      <alignment horizontal="right" vertical="center"/>
    </xf>
    <xf numFmtId="167" fontId="22" fillId="2" borderId="0" xfId="0" applyNumberFormat="1" applyFont="1" applyFill="1" applyAlignment="1">
      <alignment horizontal="right" vertical="center"/>
    </xf>
    <xf numFmtId="167" fontId="17" fillId="2" borderId="53" xfId="0" applyNumberFormat="1" applyFont="1" applyFill="1" applyBorder="1" applyAlignment="1">
      <alignment horizontal="right" vertical="center"/>
    </xf>
    <xf numFmtId="167" fontId="22" fillId="2" borderId="53" xfId="0" applyNumberFormat="1" applyFont="1" applyFill="1" applyBorder="1" applyAlignment="1">
      <alignment horizontal="right" vertical="center"/>
    </xf>
    <xf numFmtId="167" fontId="17" fillId="14" borderId="20" xfId="0" applyNumberFormat="1" applyFont="1" applyFill="1" applyBorder="1" applyAlignment="1">
      <alignment horizontal="center" vertical="center" wrapText="1"/>
    </xf>
    <xf numFmtId="167" fontId="14" fillId="9" borderId="23" xfId="4" applyNumberFormat="1" applyFont="1" applyFill="1" applyBorder="1" applyAlignment="1" applyProtection="1">
      <alignment vertical="center"/>
    </xf>
    <xf numFmtId="0" fontId="22" fillId="2" borderId="9" xfId="0" applyFont="1" applyFill="1" applyBorder="1" applyAlignment="1" applyProtection="1">
      <alignment horizontal="center" vertical="center" wrapText="1"/>
      <protection locked="0"/>
    </xf>
    <xf numFmtId="0" fontId="22" fillId="2" borderId="59" xfId="0" applyFont="1" applyFill="1" applyBorder="1" applyAlignment="1" applyProtection="1">
      <alignment horizontal="center" vertical="center" wrapText="1"/>
      <protection locked="0"/>
    </xf>
    <xf numFmtId="0" fontId="22" fillId="2" borderId="0" xfId="0" applyFont="1" applyFill="1" applyAlignment="1" applyProtection="1">
      <alignment horizontal="center" vertical="center" wrapText="1"/>
      <protection locked="0"/>
    </xf>
    <xf numFmtId="167" fontId="21" fillId="2" borderId="23" xfId="4" applyNumberFormat="1" applyFont="1" applyFill="1" applyBorder="1" applyAlignment="1" applyProtection="1">
      <alignment vertical="center"/>
    </xf>
    <xf numFmtId="167" fontId="14" fillId="2" borderId="53" xfId="0" applyNumberFormat="1" applyFont="1" applyFill="1" applyBorder="1" applyAlignment="1">
      <alignment horizontal="right" vertical="center"/>
    </xf>
    <xf numFmtId="0" fontId="14" fillId="16" borderId="53" xfId="0" applyFont="1" applyFill="1" applyBorder="1" applyAlignment="1">
      <alignment horizontal="center" vertical="center" wrapText="1"/>
    </xf>
    <xf numFmtId="0" fontId="18" fillId="14" borderId="99" xfId="0" applyFont="1" applyFill="1" applyBorder="1" applyAlignment="1">
      <alignment horizontal="center" vertical="center" wrapText="1"/>
    </xf>
    <xf numFmtId="167" fontId="14" fillId="2" borderId="0" xfId="4" applyNumberFormat="1" applyFont="1" applyFill="1" applyBorder="1" applyAlignment="1" applyProtection="1">
      <alignment vertical="center"/>
    </xf>
    <xf numFmtId="10" fontId="14" fillId="2" borderId="53" xfId="0" applyNumberFormat="1" applyFont="1" applyFill="1" applyBorder="1" applyAlignment="1">
      <alignment horizontal="right" vertical="center"/>
    </xf>
    <xf numFmtId="167" fontId="14" fillId="2" borderId="53" xfId="4" applyNumberFormat="1" applyFont="1" applyFill="1" applyBorder="1" applyAlignment="1" applyProtection="1">
      <alignment vertical="center"/>
    </xf>
    <xf numFmtId="167" fontId="35" fillId="2" borderId="0" xfId="0" applyNumberFormat="1" applyFont="1" applyFill="1" applyAlignment="1">
      <alignment horizontal="center"/>
    </xf>
    <xf numFmtId="167" fontId="35" fillId="2" borderId="53" xfId="0" applyNumberFormat="1" applyFont="1" applyFill="1" applyBorder="1" applyAlignment="1">
      <alignment horizontal="center"/>
    </xf>
    <xf numFmtId="167" fontId="36" fillId="2" borderId="0" xfId="0" applyNumberFormat="1" applyFont="1" applyFill="1" applyAlignment="1">
      <alignment horizontal="right"/>
    </xf>
    <xf numFmtId="167" fontId="35" fillId="2" borderId="92" xfId="0" applyNumberFormat="1" applyFont="1" applyFill="1" applyBorder="1" applyAlignment="1">
      <alignment horizontal="center"/>
    </xf>
    <xf numFmtId="0" fontId="28" fillId="0" borderId="3" xfId="0" applyFont="1" applyBorder="1" applyAlignment="1">
      <alignment horizontal="center" vertical="center" wrapText="1"/>
    </xf>
    <xf numFmtId="0" fontId="42" fillId="25" borderId="4" xfId="0" applyFont="1" applyFill="1" applyBorder="1" applyAlignment="1">
      <alignment horizontal="center" vertical="center"/>
    </xf>
    <xf numFmtId="0" fontId="24" fillId="20" borderId="0" xfId="0" applyFont="1" applyFill="1" applyAlignment="1">
      <alignment horizontal="center" vertical="center" wrapText="1"/>
    </xf>
    <xf numFmtId="0" fontId="24" fillId="37" borderId="0" xfId="0" applyFont="1" applyFill="1" applyAlignment="1">
      <alignment horizontal="center" vertical="center" wrapText="1"/>
    </xf>
    <xf numFmtId="0" fontId="24" fillId="21" borderId="0" xfId="0" applyFont="1" applyFill="1" applyAlignment="1">
      <alignment horizontal="center" vertical="center" wrapText="1"/>
    </xf>
    <xf numFmtId="0" fontId="24" fillId="38" borderId="98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1" fillId="2" borderId="100" xfId="0" applyFont="1" applyFill="1" applyBorder="1"/>
    <xf numFmtId="0" fontId="24" fillId="0" borderId="100" xfId="0" applyFont="1" applyBorder="1" applyAlignment="1">
      <alignment horizontal="center" vertical="center" wrapText="1"/>
    </xf>
    <xf numFmtId="167" fontId="36" fillId="2" borderId="91" xfId="0" applyNumberFormat="1" applyFont="1" applyFill="1" applyBorder="1" applyAlignment="1">
      <alignment horizontal="right"/>
    </xf>
    <xf numFmtId="0" fontId="20" fillId="0" borderId="47" xfId="0" applyFont="1" applyBorder="1" applyAlignment="1">
      <alignment horizontal="center"/>
    </xf>
    <xf numFmtId="0" fontId="20" fillId="0" borderId="48" xfId="0" applyFont="1" applyBorder="1" applyAlignment="1">
      <alignment horizontal="center"/>
    </xf>
    <xf numFmtId="0" fontId="20" fillId="0" borderId="49" xfId="0" applyFont="1" applyBorder="1" applyAlignment="1">
      <alignment horizontal="center"/>
    </xf>
    <xf numFmtId="0" fontId="20" fillId="0" borderId="50" xfId="0" applyFont="1" applyBorder="1" applyAlignment="1">
      <alignment horizontal="center"/>
    </xf>
    <xf numFmtId="167" fontId="0" fillId="0" borderId="21" xfId="0" applyNumberFormat="1" applyBorder="1" applyAlignment="1">
      <alignment horizontal="center" vertical="center"/>
    </xf>
    <xf numFmtId="167" fontId="19" fillId="0" borderId="22" xfId="0" applyNumberFormat="1" applyFont="1" applyBorder="1" applyAlignment="1">
      <alignment horizontal="center" vertical="center"/>
    </xf>
    <xf numFmtId="1" fontId="20" fillId="0" borderId="35" xfId="0" applyNumberFormat="1" applyFont="1" applyBorder="1" applyAlignment="1">
      <alignment horizontal="center" vertical="center"/>
    </xf>
    <xf numFmtId="1" fontId="20" fillId="0" borderId="44" xfId="0" applyNumberFormat="1" applyFont="1" applyBorder="1" applyAlignment="1">
      <alignment horizontal="center" vertical="center"/>
    </xf>
    <xf numFmtId="2" fontId="47" fillId="0" borderId="0" xfId="0" applyNumberFormat="1" applyFont="1"/>
    <xf numFmtId="0" fontId="21" fillId="0" borderId="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35" fillId="18" borderId="37" xfId="0" applyFont="1" applyFill="1" applyBorder="1" applyAlignment="1" applyProtection="1">
      <alignment horizontal="center" vertical="center" wrapText="1"/>
      <protection locked="0"/>
    </xf>
    <xf numFmtId="0" fontId="35" fillId="18" borderId="38" xfId="0" applyFont="1" applyFill="1" applyBorder="1" applyAlignment="1" applyProtection="1">
      <alignment horizontal="center" vertical="center" wrapText="1"/>
      <protection locked="0"/>
    </xf>
    <xf numFmtId="0" fontId="35" fillId="18" borderId="39" xfId="0" applyFont="1" applyFill="1" applyBorder="1" applyAlignment="1" applyProtection="1">
      <alignment horizontal="center" vertical="center" wrapText="1"/>
      <protection locked="0"/>
    </xf>
    <xf numFmtId="0" fontId="35" fillId="18" borderId="31" xfId="0" applyFont="1" applyFill="1" applyBorder="1" applyAlignment="1" applyProtection="1">
      <alignment vertical="center" wrapText="1"/>
      <protection locked="0"/>
    </xf>
    <xf numFmtId="0" fontId="35" fillId="18" borderId="33" xfId="0" applyFont="1" applyFill="1" applyBorder="1" applyAlignment="1" applyProtection="1">
      <alignment vertical="center" wrapText="1"/>
      <protection locked="0"/>
    </xf>
    <xf numFmtId="0" fontId="35" fillId="18" borderId="40" xfId="0" applyFont="1" applyFill="1" applyBorder="1" applyAlignment="1" applyProtection="1">
      <alignment vertical="center" wrapText="1"/>
      <protection locked="0"/>
    </xf>
    <xf numFmtId="0" fontId="35" fillId="18" borderId="32" xfId="0" applyFont="1" applyFill="1" applyBorder="1" applyAlignment="1" applyProtection="1">
      <alignment vertical="center" wrapText="1"/>
      <protection locked="0"/>
    </xf>
    <xf numFmtId="0" fontId="35" fillId="18" borderId="34" xfId="0" applyFont="1" applyFill="1" applyBorder="1" applyAlignment="1" applyProtection="1">
      <alignment vertical="center" wrapText="1"/>
      <protection locked="0"/>
    </xf>
    <xf numFmtId="0" fontId="35" fillId="18" borderId="41" xfId="0" applyFont="1" applyFill="1" applyBorder="1" applyAlignment="1" applyProtection="1">
      <alignment vertical="center" wrapText="1"/>
      <protection locked="0"/>
    </xf>
    <xf numFmtId="0" fontId="20" fillId="0" borderId="43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165" fontId="19" fillId="0" borderId="21" xfId="0" applyNumberFormat="1" applyFont="1" applyBorder="1" applyAlignment="1">
      <alignment horizontal="right"/>
    </xf>
    <xf numFmtId="165" fontId="19" fillId="0" borderId="22" xfId="0" applyNumberFormat="1" applyFont="1" applyBorder="1" applyAlignment="1">
      <alignment horizontal="right"/>
    </xf>
    <xf numFmtId="1" fontId="20" fillId="0" borderId="35" xfId="0" applyNumberFormat="1" applyFont="1" applyBorder="1" applyAlignment="1">
      <alignment horizontal="right"/>
    </xf>
    <xf numFmtId="1" fontId="20" fillId="0" borderId="44" xfId="0" applyNumberFormat="1" applyFont="1" applyBorder="1" applyAlignment="1">
      <alignment horizontal="right"/>
    </xf>
    <xf numFmtId="165" fontId="0" fillId="0" borderId="21" xfId="0" applyNumberFormat="1" applyBorder="1" applyAlignment="1">
      <alignment horizontal="right"/>
    </xf>
    <xf numFmtId="1" fontId="0" fillId="0" borderId="35" xfId="0" applyNumberFormat="1" applyBorder="1" applyAlignment="1">
      <alignment horizontal="right"/>
    </xf>
    <xf numFmtId="0" fontId="21" fillId="0" borderId="3" xfId="0" applyFont="1" applyBorder="1" applyAlignment="1">
      <alignment horizontal="center" vertical="center"/>
    </xf>
    <xf numFmtId="167" fontId="0" fillId="0" borderId="21" xfId="0" applyNumberFormat="1" applyBorder="1" applyAlignment="1">
      <alignment horizontal="center"/>
    </xf>
    <xf numFmtId="167" fontId="9" fillId="0" borderId="22" xfId="0" applyNumberFormat="1" applyFon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67" fontId="19" fillId="0" borderId="22" xfId="0" applyNumberFormat="1" applyFont="1" applyBorder="1" applyAlignment="1">
      <alignment horizontal="center"/>
    </xf>
    <xf numFmtId="1" fontId="20" fillId="0" borderId="44" xfId="0" applyNumberFormat="1" applyFont="1" applyBorder="1" applyAlignment="1">
      <alignment horizontal="center"/>
    </xf>
    <xf numFmtId="167" fontId="0" fillId="0" borderId="20" xfId="4" applyNumberFormat="1" applyFont="1" applyBorder="1" applyAlignment="1">
      <alignment horizontal="center" vertical="center"/>
    </xf>
    <xf numFmtId="167" fontId="19" fillId="0" borderId="21" xfId="4" applyNumberFormat="1" applyFont="1" applyBorder="1" applyAlignment="1">
      <alignment horizontal="center" vertical="center"/>
    </xf>
    <xf numFmtId="1" fontId="0" fillId="0" borderId="43" xfId="0" applyNumberFormat="1" applyBorder="1" applyAlignment="1">
      <alignment horizontal="center" vertical="center"/>
    </xf>
    <xf numFmtId="2" fontId="20" fillId="0" borderId="0" xfId="0" applyNumberFormat="1" applyFont="1"/>
    <xf numFmtId="0" fontId="20" fillId="0" borderId="62" xfId="0" applyFont="1" applyBorder="1" applyAlignment="1">
      <alignment horizontal="center"/>
    </xf>
    <xf numFmtId="0" fontId="20" fillId="0" borderId="61" xfId="0" applyFont="1" applyBorder="1" applyAlignment="1">
      <alignment horizontal="center"/>
    </xf>
    <xf numFmtId="167" fontId="0" fillId="0" borderId="61" xfId="0" applyNumberFormat="1" applyBorder="1" applyAlignment="1">
      <alignment horizontal="center" vertical="center"/>
    </xf>
    <xf numFmtId="167" fontId="19" fillId="0" borderId="78" xfId="0" applyNumberFormat="1" applyFont="1" applyBorder="1" applyAlignment="1">
      <alignment horizontal="center" vertical="center"/>
    </xf>
    <xf numFmtId="1" fontId="0" fillId="0" borderId="62" xfId="0" applyNumberFormat="1" applyBorder="1" applyAlignment="1">
      <alignment horizontal="center" vertical="center"/>
    </xf>
    <xf numFmtId="1" fontId="20" fillId="0" borderId="77" xfId="0" applyNumberFormat="1" applyFont="1" applyBorder="1" applyAlignment="1">
      <alignment horizontal="center" vertical="center"/>
    </xf>
    <xf numFmtId="167" fontId="19" fillId="0" borderId="61" xfId="0" applyNumberFormat="1" applyFon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1" fontId="20" fillId="0" borderId="62" xfId="0" applyNumberFormat="1" applyFont="1" applyBorder="1" applyAlignment="1">
      <alignment horizontal="center" vertical="center"/>
    </xf>
    <xf numFmtId="0" fontId="12" fillId="9" borderId="2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39">
    <cellStyle name="40% - Accent1" xfId="10" builtinId="31"/>
    <cellStyle name="Currency" xfId="4" builtinId="4"/>
    <cellStyle name="Currency 2" xfId="8" xr:uid="{2EE6A51C-D416-49EF-9350-3A60A1C890E3}"/>
    <cellStyle name="Currency 2 2" xfId="14" xr:uid="{0FED2B7A-9630-42DE-A003-F73D7DBE219D}"/>
    <cellStyle name="Currency 2 2 2" xfId="22" xr:uid="{2B318B76-6252-42A9-A032-389E36F202AC}"/>
    <cellStyle name="Currency 2 2 2 2" xfId="38" xr:uid="{4C348015-7FFE-4D3E-8A1F-EEC44F2502C5}"/>
    <cellStyle name="Currency 2 2 3" xfId="30" xr:uid="{457B2A54-AE1A-40CA-9B26-A1A5F85A5CCE}"/>
    <cellStyle name="Currency 2 3" xfId="18" xr:uid="{C46BAB00-152A-4F27-845B-CD50E295ABE4}"/>
    <cellStyle name="Currency 2 3 2" xfId="34" xr:uid="{FF0D9116-C295-4C73-8B01-A43A8FB96C7C}"/>
    <cellStyle name="Currency 2 4" xfId="26" xr:uid="{F7E02E88-9312-4D10-8A4E-9CFA35974A7A}"/>
    <cellStyle name="Currency 3" xfId="11" xr:uid="{FE76763C-7D5E-4106-87DD-2398953DF8EC}"/>
    <cellStyle name="Currency 3 2" xfId="19" xr:uid="{F286B6BE-130B-49EC-B359-B236607D7631}"/>
    <cellStyle name="Currency 3 2 2" xfId="35" xr:uid="{685B3A57-1732-420C-8BAC-6BC403BC35A2}"/>
    <cellStyle name="Currency 3 3" xfId="27" xr:uid="{F30AF503-161E-4ECE-A4DA-2F17CA938043}"/>
    <cellStyle name="Currency 4" xfId="15" xr:uid="{B880E134-DB91-4A20-A92C-CA8B3FFEB6B5}"/>
    <cellStyle name="Currency 4 2" xfId="31" xr:uid="{68B255FD-9A73-4854-9D34-5AB5A3E6C6B9}"/>
    <cellStyle name="Currency 5" xfId="23" xr:uid="{755FE143-E863-476F-933A-4EB6C2548C98}"/>
    <cellStyle name="Hyperlink" xfId="6" builtinId="8"/>
    <cellStyle name="Navadno 2" xfId="2" xr:uid="{5AF011C4-01D6-4371-B2F8-70E786EC8CF3}"/>
    <cellStyle name="Navadno 2 2" xfId="9" xr:uid="{97117CE4-ED55-4ED8-B231-A8A2C204A9F0}"/>
    <cellStyle name="Navadno 3" xfId="1" xr:uid="{BCBC9816-96E9-4C90-81E4-FDAE31C926A9}"/>
    <cellStyle name="Normal" xfId="0" builtinId="0"/>
    <cellStyle name="Valuta 2" xfId="3" xr:uid="{02FD1DC0-02D3-44CF-919E-5132FC86114F}"/>
    <cellStyle name="Valuta 3" xfId="5" xr:uid="{C1EFFA17-499F-4281-BE17-43A55E8F988D}"/>
    <cellStyle name="Valuta 3 2" xfId="12" xr:uid="{BB1E59B1-88F9-408B-A23B-E30FF2FC7DDF}"/>
    <cellStyle name="Valuta 3 2 2" xfId="20" xr:uid="{F1AB5FB1-917F-4C98-97FA-3370CF4D0E05}"/>
    <cellStyle name="Valuta 3 2 2 2" xfId="36" xr:uid="{E6103F63-1B7C-47DB-BC3B-C7A3B4467B6F}"/>
    <cellStyle name="Valuta 3 2 3" xfId="28" xr:uid="{8D6E10B4-1EB8-4E50-878F-89F396590999}"/>
    <cellStyle name="Valuta 3 3" xfId="16" xr:uid="{67D3D46C-48A8-4923-99A8-E27A3A57AD34}"/>
    <cellStyle name="Valuta 3 3 2" xfId="32" xr:uid="{EEE15A44-779E-4230-B95A-3BEFF1A5D4D1}"/>
    <cellStyle name="Valuta 3 4" xfId="24" xr:uid="{AD79310E-AEDE-4393-B5BE-27D11B1A8082}"/>
    <cellStyle name="Valuta 4" xfId="7" xr:uid="{03869550-43D1-48D8-B14E-9F569708A990}"/>
    <cellStyle name="Valuta 4 2" xfId="13" xr:uid="{E3C8727D-3394-4534-8ED8-7F6BEBCE68B5}"/>
    <cellStyle name="Valuta 4 2 2" xfId="21" xr:uid="{50875F96-A8B4-42D4-B8A5-8C217EF023F3}"/>
    <cellStyle name="Valuta 4 2 2 2" xfId="37" xr:uid="{F35EC127-690F-411B-8C43-C1FB5CABC07C}"/>
    <cellStyle name="Valuta 4 2 3" xfId="29" xr:uid="{B364C649-CDF9-42D3-BB30-D3918A139B39}"/>
    <cellStyle name="Valuta 4 3" xfId="17" xr:uid="{8A55332C-8DBA-426E-9795-FDD4B8215ED2}"/>
    <cellStyle name="Valuta 4 3 2" xfId="33" xr:uid="{275DD4C0-86E9-439B-9C4F-8CC0AFB750FC}"/>
    <cellStyle name="Valuta 4 4" xfId="25" xr:uid="{9A3F3C90-2201-4789-94BD-2C182CEB38B3}"/>
  </cellStyles>
  <dxfs count="274">
    <dxf>
      <numFmt numFmtId="0" formatCode="General"/>
    </dxf>
    <dxf>
      <numFmt numFmtId="165" formatCode="#,##0.00\ &quot;€&quot;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8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scheme val="none"/>
      </font>
      <fill>
        <patternFill patternType="solid">
          <fgColor indexed="64"/>
          <bgColor rgb="FFCCFFCC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1" tint="0.499984740745262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rgb="FF0A0A0A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7" formatCode="#,##0.00\ [$CAD]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7" formatCode="#,##0.00\ [$CAD]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none"/>
      </font>
      <fill>
        <patternFill patternType="solid">
          <fgColor indexed="64"/>
          <bgColor rgb="FFE4C9AE"/>
        </patternFill>
      </fill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 outline="0">
        <right style="thin">
          <color indexed="64"/>
        </right>
      </border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65" formatCode="#,##0.00\ &quot;€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2"/>
        <color auto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rgb="FF0A0A0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rgb="FF54575C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858C9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0ECE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699E4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0083B4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A0347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E3B3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E55E3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DE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>
        <right style="thin">
          <color indexed="64"/>
        </right>
      </border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FFDE21"/>
      <color rgb="FFFFFF00"/>
      <color rgb="FF858C90"/>
      <color rgb="FF54575C"/>
      <color rgb="FF699E4B"/>
      <color rgb="FF0083B4"/>
      <color rgb="FF96497D"/>
      <color rgb="FFBE3B37"/>
      <color rgb="FFE55E33"/>
      <color rgb="FFF7B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63.jpeg"/><Relationship Id="rId1" Type="http://schemas.openxmlformats.org/officeDocument/2006/relationships/image" Target="../media/image6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jpeg"/><Relationship Id="rId14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3" Type="http://schemas.openxmlformats.org/officeDocument/2006/relationships/image" Target="../media/image20.png"/><Relationship Id="rId21" Type="http://schemas.openxmlformats.org/officeDocument/2006/relationships/image" Target="../media/image37.jpeg"/><Relationship Id="rId7" Type="http://schemas.openxmlformats.org/officeDocument/2006/relationships/image" Target="../media/image23.jpeg"/><Relationship Id="rId12" Type="http://schemas.openxmlformats.org/officeDocument/2006/relationships/image" Target="../media/image28.png"/><Relationship Id="rId17" Type="http://schemas.openxmlformats.org/officeDocument/2006/relationships/image" Target="../media/image33.jpeg"/><Relationship Id="rId2" Type="http://schemas.openxmlformats.org/officeDocument/2006/relationships/image" Target="../media/image19.png"/><Relationship Id="rId16" Type="http://schemas.openxmlformats.org/officeDocument/2006/relationships/image" Target="../media/image32.png"/><Relationship Id="rId20" Type="http://schemas.openxmlformats.org/officeDocument/2006/relationships/image" Target="../media/image36.jpeg"/><Relationship Id="rId1" Type="http://schemas.openxmlformats.org/officeDocument/2006/relationships/image" Target="../media/image18.png"/><Relationship Id="rId6" Type="http://schemas.openxmlformats.org/officeDocument/2006/relationships/image" Target="../media/image22.jpe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5" Type="http://schemas.openxmlformats.org/officeDocument/2006/relationships/image" Target="../media/image31.jpeg"/><Relationship Id="rId10" Type="http://schemas.openxmlformats.org/officeDocument/2006/relationships/image" Target="../media/image26.png"/><Relationship Id="rId19" Type="http://schemas.openxmlformats.org/officeDocument/2006/relationships/image" Target="../media/image35.png"/><Relationship Id="rId4" Type="http://schemas.openxmlformats.org/officeDocument/2006/relationships/image" Target="../media/image4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jpeg"/><Relationship Id="rId1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39.jpeg"/><Relationship Id="rId6" Type="http://schemas.openxmlformats.org/officeDocument/2006/relationships/image" Target="../media/image46.jpeg"/><Relationship Id="rId5" Type="http://schemas.openxmlformats.org/officeDocument/2006/relationships/image" Target="../media/image45.jpeg"/><Relationship Id="rId10" Type="http://schemas.openxmlformats.org/officeDocument/2006/relationships/image" Target="../media/image50.jpeg"/><Relationship Id="rId4" Type="http://schemas.openxmlformats.org/officeDocument/2006/relationships/image" Target="../media/image44.png"/><Relationship Id="rId9" Type="http://schemas.openxmlformats.org/officeDocument/2006/relationships/image" Target="../media/image4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jpg"/><Relationship Id="rId5" Type="http://schemas.openxmlformats.org/officeDocument/2006/relationships/image" Target="../media/image61.jpeg"/><Relationship Id="rId4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474178</xdr:colOff>
      <xdr:row>10</xdr:row>
      <xdr:rowOff>168088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DAC9D9D-AEB1-F0C4-FAC7-38C3009F8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67384" cy="207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1379220</xdr:colOff>
      <xdr:row>0</xdr:row>
      <xdr:rowOff>83820</xdr:rowOff>
    </xdr:from>
    <xdr:to>
      <xdr:col>4</xdr:col>
      <xdr:colOff>396303</xdr:colOff>
      <xdr:row>1</xdr:row>
      <xdr:rowOff>148590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A65ECD83-1EBC-1BBD-277C-7330D8798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7" t="26525" r="4510" b="27730"/>
        <a:stretch/>
      </xdr:blipFill>
      <xdr:spPr>
        <a:xfrm>
          <a:off x="1379220" y="83820"/>
          <a:ext cx="1977453" cy="735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378642</xdr:rowOff>
    </xdr:from>
    <xdr:to>
      <xdr:col>0</xdr:col>
      <xdr:colOff>1433024</xdr:colOff>
      <xdr:row>12</xdr:row>
      <xdr:rowOff>149225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26B843D-E939-8607-F19B-8688C9695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4062"/>
          <a:ext cx="1433024" cy="98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1</xdr:col>
      <xdr:colOff>0</xdr:colOff>
      <xdr:row>14</xdr:row>
      <xdr:rowOff>8432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1C76975-2DFD-8D45-F2FD-4E4384618D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929" b="22201"/>
        <a:stretch/>
      </xdr:blipFill>
      <xdr:spPr bwMode="auto">
        <a:xfrm>
          <a:off x="0" y="2771775"/>
          <a:ext cx="1508760" cy="30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5</xdr:col>
      <xdr:colOff>175799</xdr:colOff>
      <xdr:row>0</xdr:row>
      <xdr:rowOff>1036320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67EE3983-C76E-46E9-B3AE-59EC5302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0"/>
          <a:ext cx="4174394" cy="1036320"/>
        </a:xfrm>
        <a:prstGeom prst="rect">
          <a:avLst/>
        </a:prstGeom>
      </xdr:spPr>
    </xdr:pic>
    <xdr:clientData/>
  </xdr:twoCellAnchor>
  <xdr:twoCellAnchor>
    <xdr:from>
      <xdr:col>5</xdr:col>
      <xdr:colOff>792480</xdr:colOff>
      <xdr:row>93</xdr:row>
      <xdr:rowOff>99060</xdr:rowOff>
    </xdr:from>
    <xdr:to>
      <xdr:col>8</xdr:col>
      <xdr:colOff>251460</xdr:colOff>
      <xdr:row>97</xdr:row>
      <xdr:rowOff>99060</xdr:rowOff>
    </xdr:to>
    <xdr:sp macro="[0]!PoljeZBesedilom5_Klikni" textlink="">
      <xdr:nvSpPr>
        <xdr:cNvPr id="6" name="PoljeZBesedilom 5">
          <a:extLst>
            <a:ext uri="{FF2B5EF4-FFF2-40B4-BE49-F238E27FC236}">
              <a16:creationId xmlns:a16="http://schemas.microsoft.com/office/drawing/2014/main" id="{B0B07456-C6F0-42A8-BBB2-FBB446718C04}"/>
            </a:ext>
          </a:extLst>
        </xdr:cNvPr>
        <xdr:cNvSpPr txBox="1"/>
      </xdr:nvSpPr>
      <xdr:spPr>
        <a:xfrm>
          <a:off x="5181600" y="8740140"/>
          <a:ext cx="1775460" cy="7315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l-SI" sz="1600"/>
            <a:t>CLICK FOR YOUR ORDER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56029</xdr:colOff>
      <xdr:row>0</xdr:row>
      <xdr:rowOff>156883</xdr:rowOff>
    </xdr:from>
    <xdr:to>
      <xdr:col>9</xdr:col>
      <xdr:colOff>425823</xdr:colOff>
      <xdr:row>0</xdr:row>
      <xdr:rowOff>1274362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8BF5529-3AD1-488E-8086-74E7D9EA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100853</xdr:colOff>
      <xdr:row>0</xdr:row>
      <xdr:rowOff>168088</xdr:rowOff>
    </xdr:from>
    <xdr:to>
      <xdr:col>11</xdr:col>
      <xdr:colOff>459441</xdr:colOff>
      <xdr:row>0</xdr:row>
      <xdr:rowOff>1273254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EEFCF677-B633-407E-AF0C-A1B403B5A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512455</xdr:colOff>
      <xdr:row>0</xdr:row>
      <xdr:rowOff>1344706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DB54A1F-1AE4-4983-BE68-C541EEE3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38779" cy="13447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795617</xdr:colOff>
      <xdr:row>0</xdr:row>
      <xdr:rowOff>156883</xdr:rowOff>
    </xdr:from>
    <xdr:to>
      <xdr:col>9</xdr:col>
      <xdr:colOff>201706</xdr:colOff>
      <xdr:row>1</xdr:row>
      <xdr:rowOff>389097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3767DE02-A675-44C1-B8D1-432FA4C2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459442</xdr:colOff>
      <xdr:row>0</xdr:row>
      <xdr:rowOff>168088</xdr:rowOff>
    </xdr:from>
    <xdr:to>
      <xdr:col>11</xdr:col>
      <xdr:colOff>235324</xdr:colOff>
      <xdr:row>1</xdr:row>
      <xdr:rowOff>387989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860013D-DF61-40B8-B9F5-66DE4E39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0</xdr:row>
      <xdr:rowOff>0</xdr:rowOff>
    </xdr:from>
    <xdr:to>
      <xdr:col>6</xdr:col>
      <xdr:colOff>75425</xdr:colOff>
      <xdr:row>1</xdr:row>
      <xdr:rowOff>459441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72656DD-9651-4153-A047-6036C834F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" y="0"/>
          <a:ext cx="4938779" cy="13447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93346</xdr:rowOff>
    </xdr:from>
    <xdr:to>
      <xdr:col>5</xdr:col>
      <xdr:colOff>57151</xdr:colOff>
      <xdr:row>1</xdr:row>
      <xdr:rowOff>110895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31545EC8-1D70-4092-B009-85CD10C4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93346"/>
          <a:ext cx="2457451" cy="669059"/>
        </a:xfrm>
        <a:prstGeom prst="rect">
          <a:avLst/>
        </a:prstGeom>
      </xdr:spPr>
    </xdr:pic>
    <xdr:clientData/>
  </xdr:twoCellAnchor>
  <xdr:twoCellAnchor editAs="oneCell">
    <xdr:from>
      <xdr:col>0</xdr:col>
      <xdr:colOff>29305</xdr:colOff>
      <xdr:row>21</xdr:row>
      <xdr:rowOff>7621</xdr:rowOff>
    </xdr:from>
    <xdr:to>
      <xdr:col>1</xdr:col>
      <xdr:colOff>0</xdr:colOff>
      <xdr:row>26</xdr:row>
      <xdr:rowOff>38101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E4F848-541F-6D86-A2AA-6919189B8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7" b="22352"/>
        <a:stretch/>
      </xdr:blipFill>
      <xdr:spPr>
        <a:xfrm>
          <a:off x="29305" y="4503421"/>
          <a:ext cx="1428417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21771</xdr:rowOff>
    </xdr:from>
    <xdr:to>
      <xdr:col>1</xdr:col>
      <xdr:colOff>0</xdr:colOff>
      <xdr:row>35</xdr:row>
      <xdr:rowOff>56333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148741-4435-EC63-A0BA-3CA89972B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9" b="22129"/>
        <a:stretch/>
      </xdr:blipFill>
      <xdr:spPr>
        <a:xfrm>
          <a:off x="0" y="5889171"/>
          <a:ext cx="1418127" cy="79465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38</xdr:row>
      <xdr:rowOff>43543</xdr:rowOff>
    </xdr:from>
    <xdr:to>
      <xdr:col>1</xdr:col>
      <xdr:colOff>0</xdr:colOff>
      <xdr:row>44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225C3B-0091-9199-9925-9BDBD583D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19" b="20557"/>
        <a:stretch/>
      </xdr:blipFill>
      <xdr:spPr>
        <a:xfrm>
          <a:off x="10886" y="7130143"/>
          <a:ext cx="1451522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76200</xdr:rowOff>
    </xdr:from>
    <xdr:to>
      <xdr:col>1</xdr:col>
      <xdr:colOff>0</xdr:colOff>
      <xdr:row>52</xdr:row>
      <xdr:rowOff>110763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7578E81-98FA-0295-D279-28040758C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5" t="24650" r="9944" b="23529"/>
        <a:stretch/>
      </xdr:blipFill>
      <xdr:spPr>
        <a:xfrm>
          <a:off x="0" y="8382000"/>
          <a:ext cx="1453862" cy="947058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67</xdr:row>
      <xdr:rowOff>62999</xdr:rowOff>
    </xdr:from>
    <xdr:to>
      <xdr:col>1</xdr:col>
      <xdr:colOff>0</xdr:colOff>
      <xdr:row>73</xdr:row>
      <xdr:rowOff>116428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5C128C4-4948-8404-6B34-24A0A7340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t="9664" r="8123" b="30392"/>
        <a:stretch/>
      </xdr:blipFill>
      <xdr:spPr>
        <a:xfrm>
          <a:off x="43543" y="11569199"/>
          <a:ext cx="1404256" cy="967829"/>
        </a:xfrm>
        <a:prstGeom prst="rect">
          <a:avLst/>
        </a:prstGeom>
      </xdr:spPr>
    </xdr:pic>
    <xdr:clientData/>
  </xdr:twoCellAnchor>
  <xdr:twoCellAnchor editAs="oneCell">
    <xdr:from>
      <xdr:col>0</xdr:col>
      <xdr:colOff>57335</xdr:colOff>
      <xdr:row>7</xdr:row>
      <xdr:rowOff>97971</xdr:rowOff>
    </xdr:from>
    <xdr:to>
      <xdr:col>1</xdr:col>
      <xdr:colOff>0</xdr:colOff>
      <xdr:row>15</xdr:row>
      <xdr:rowOff>111306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6FFF63-22C4-4D2A-5C25-F6B68786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6" t="20869" r="28711" b="27731"/>
        <a:stretch/>
      </xdr:blipFill>
      <xdr:spPr>
        <a:xfrm>
          <a:off x="57335" y="2460171"/>
          <a:ext cx="136869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112569</xdr:colOff>
      <xdr:row>112</xdr:row>
      <xdr:rowOff>121227</xdr:rowOff>
    </xdr:from>
    <xdr:to>
      <xdr:col>0</xdr:col>
      <xdr:colOff>1376797</xdr:colOff>
      <xdr:row>118</xdr:row>
      <xdr:rowOff>182325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C9FD36A6-14F0-D9F6-FA0E-768B0FD2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569" y="18720954"/>
          <a:ext cx="1264228" cy="1204098"/>
        </a:xfrm>
        <a:prstGeom prst="rect">
          <a:avLst/>
        </a:prstGeom>
      </xdr:spPr>
    </xdr:pic>
    <xdr:clientData/>
  </xdr:twoCellAnchor>
  <xdr:twoCellAnchor editAs="oneCell">
    <xdr:from>
      <xdr:col>0</xdr:col>
      <xdr:colOff>82381</xdr:colOff>
      <xdr:row>123</xdr:row>
      <xdr:rowOff>136236</xdr:rowOff>
    </xdr:from>
    <xdr:to>
      <xdr:col>0</xdr:col>
      <xdr:colOff>1426983</xdr:colOff>
      <xdr:row>128</xdr:row>
      <xdr:rowOff>109393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F56521A2-11C4-8EA0-8FE0-E4F091BF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381" y="20831463"/>
          <a:ext cx="1354127" cy="925657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415637</xdr:colOff>
      <xdr:row>0</xdr:row>
      <xdr:rowOff>138544</xdr:rowOff>
    </xdr:from>
    <xdr:to>
      <xdr:col>13</xdr:col>
      <xdr:colOff>145632</xdr:colOff>
      <xdr:row>1</xdr:row>
      <xdr:rowOff>244443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BF5E4B3-6639-43BA-97A0-E564EA91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7523" y="138544"/>
          <a:ext cx="803723" cy="772649"/>
        </a:xfrm>
        <a:prstGeom prst="rect">
          <a:avLst/>
        </a:prstGeom>
      </xdr:spPr>
    </xdr:pic>
    <xdr:clientData/>
  </xdr:twoCellAnchor>
  <xdr:twoCellAnchor editAs="oneCell">
    <xdr:from>
      <xdr:col>0</xdr:col>
      <xdr:colOff>334427</xdr:colOff>
      <xdr:row>14</xdr:row>
      <xdr:rowOff>52943</xdr:rowOff>
    </xdr:from>
    <xdr:to>
      <xdr:col>0</xdr:col>
      <xdr:colOff>666751</xdr:colOff>
      <xdr:row>16</xdr:row>
      <xdr:rowOff>60690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D25B827-119F-40BE-B41D-03F7E52C2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427" y="3048988"/>
          <a:ext cx="332324" cy="3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181841</xdr:colOff>
      <xdr:row>25</xdr:row>
      <xdr:rowOff>112569</xdr:rowOff>
    </xdr:from>
    <xdr:to>
      <xdr:col>0</xdr:col>
      <xdr:colOff>514165</xdr:colOff>
      <xdr:row>27</xdr:row>
      <xdr:rowOff>120316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6FAD0B-1B6E-49B7-952A-0641482D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41" y="4823114"/>
          <a:ext cx="332324" cy="3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1073727</xdr:colOff>
      <xdr:row>34</xdr:row>
      <xdr:rowOff>86591</xdr:rowOff>
    </xdr:from>
    <xdr:to>
      <xdr:col>0</xdr:col>
      <xdr:colOff>1406051</xdr:colOff>
      <xdr:row>36</xdr:row>
      <xdr:rowOff>94339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088B3D0-0490-4BCB-BA07-1C744BEE4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27" y="6199909"/>
          <a:ext cx="332324" cy="3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117764</xdr:rowOff>
    </xdr:from>
    <xdr:to>
      <xdr:col>0</xdr:col>
      <xdr:colOff>332324</xdr:colOff>
      <xdr:row>44</xdr:row>
      <xdr:rowOff>125511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A258D5D-A1EF-4F32-A7E2-9E2ABE5A9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77991"/>
          <a:ext cx="332324" cy="3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147204</xdr:rowOff>
    </xdr:from>
    <xdr:to>
      <xdr:col>0</xdr:col>
      <xdr:colOff>332324</xdr:colOff>
      <xdr:row>53</xdr:row>
      <xdr:rowOff>154952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EE6C232-22FC-4687-AE0B-3D99410F6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10204"/>
          <a:ext cx="332324" cy="3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874568</xdr:colOff>
      <xdr:row>72</xdr:row>
      <xdr:rowOff>86591</xdr:rowOff>
    </xdr:from>
    <xdr:to>
      <xdr:col>0</xdr:col>
      <xdr:colOff>1206892</xdr:colOff>
      <xdr:row>74</xdr:row>
      <xdr:rowOff>94338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620E2DF-9720-44BA-9843-71F7B901A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568" y="12122727"/>
          <a:ext cx="332324" cy="3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865910</xdr:colOff>
      <xdr:row>117</xdr:row>
      <xdr:rowOff>70118</xdr:rowOff>
    </xdr:from>
    <xdr:to>
      <xdr:col>0</xdr:col>
      <xdr:colOff>1151659</xdr:colOff>
      <xdr:row>118</xdr:row>
      <xdr:rowOff>163677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0D02524-307B-4BD5-B37A-B26DCFBA2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0" y="19691618"/>
          <a:ext cx="285749" cy="292718"/>
        </a:xfrm>
        <a:prstGeom prst="rect">
          <a:avLst/>
        </a:prstGeom>
      </xdr:spPr>
    </xdr:pic>
    <xdr:clientData/>
  </xdr:twoCellAnchor>
  <xdr:twoCellAnchor editAs="oneCell">
    <xdr:from>
      <xdr:col>0</xdr:col>
      <xdr:colOff>1073727</xdr:colOff>
      <xdr:row>127</xdr:row>
      <xdr:rowOff>112568</xdr:rowOff>
    </xdr:from>
    <xdr:to>
      <xdr:col>0</xdr:col>
      <xdr:colOff>1406051</xdr:colOff>
      <xdr:row>129</xdr:row>
      <xdr:rowOff>33725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2598DA1-6B10-4523-B85D-52A8EF6C8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727" y="21725659"/>
          <a:ext cx="332324" cy="3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1314633</xdr:colOff>
      <xdr:row>98</xdr:row>
      <xdr:rowOff>16751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0ACE4A4-E6DF-1698-736F-3185567F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4287500"/>
          <a:ext cx="1314633" cy="1333686"/>
        </a:xfrm>
        <a:prstGeom prst="rect">
          <a:avLst/>
        </a:prstGeom>
      </xdr:spPr>
    </xdr:pic>
    <xdr:clientData/>
  </xdr:twoCellAnchor>
  <xdr:twoCellAnchor editAs="oneCell">
    <xdr:from>
      <xdr:col>0</xdr:col>
      <xdr:colOff>1075987</xdr:colOff>
      <xdr:row>96</xdr:row>
      <xdr:rowOff>139889</xdr:rowOff>
    </xdr:from>
    <xdr:to>
      <xdr:col>0</xdr:col>
      <xdr:colOff>1408311</xdr:colOff>
      <xdr:row>98</xdr:row>
      <xdr:rowOff>113000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C6BDCA-0559-4535-A55C-9DF598669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987" y="15396454"/>
          <a:ext cx="332324" cy="3209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130908</xdr:colOff>
      <xdr:row>86</xdr:row>
      <xdr:rowOff>77420</xdr:rowOff>
    </xdr:from>
    <xdr:to>
      <xdr:col>0</xdr:col>
      <xdr:colOff>1277602</xdr:colOff>
      <xdr:row>92</xdr:row>
      <xdr:rowOff>117230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23BF601-858C-0E03-6565-A9A53BE0F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542" t="29100" r="25375" b="29945"/>
        <a:stretch/>
      </xdr:blipFill>
      <xdr:spPr>
        <a:xfrm>
          <a:off x="130908" y="14152439"/>
          <a:ext cx="1146694" cy="96300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77</xdr:row>
      <xdr:rowOff>78643</xdr:rowOff>
    </xdr:from>
    <xdr:to>
      <xdr:col>0</xdr:col>
      <xdr:colOff>1407333</xdr:colOff>
      <xdr:row>85</xdr:row>
      <xdr:rowOff>29308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97043F00-88A1-C703-BFB1-F330F5C47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695" t="24327" r="23221" b="25370"/>
        <a:stretch/>
      </xdr:blipFill>
      <xdr:spPr>
        <a:xfrm>
          <a:off x="104776" y="12768874"/>
          <a:ext cx="1302557" cy="1181588"/>
        </a:xfrm>
        <a:prstGeom prst="rect">
          <a:avLst/>
        </a:prstGeom>
      </xdr:spPr>
    </xdr:pic>
    <xdr:clientData/>
  </xdr:twoCellAnchor>
  <xdr:twoCellAnchor editAs="oneCell">
    <xdr:from>
      <xdr:col>0</xdr:col>
      <xdr:colOff>61790</xdr:colOff>
      <xdr:row>65</xdr:row>
      <xdr:rowOff>46158</xdr:rowOff>
    </xdr:from>
    <xdr:to>
      <xdr:col>0</xdr:col>
      <xdr:colOff>1428692</xdr:colOff>
      <xdr:row>72</xdr:row>
      <xdr:rowOff>14652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1A1F8140-C3B0-BE73-283F-E0A6C58AB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870" t="30823" r="23529" b="29021"/>
        <a:stretch/>
      </xdr:blipFill>
      <xdr:spPr>
        <a:xfrm>
          <a:off x="61790" y="10890004"/>
          <a:ext cx="1366902" cy="10455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38103</xdr:rowOff>
    </xdr:from>
    <xdr:to>
      <xdr:col>4</xdr:col>
      <xdr:colOff>16255</xdr:colOff>
      <xdr:row>1</xdr:row>
      <xdr:rowOff>152401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D2C4F7-9A89-4072-BCD7-9C72AB7E5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8103"/>
          <a:ext cx="2925825" cy="781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39107</xdr:colOff>
      <xdr:row>93</xdr:row>
      <xdr:rowOff>1568</xdr:rowOff>
    </xdr:from>
    <xdr:to>
      <xdr:col>1</xdr:col>
      <xdr:colOff>0</xdr:colOff>
      <xdr:row>102</xdr:row>
      <xdr:rowOff>21552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462976B-D686-3014-B9C6-807ADA88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107" y="15451118"/>
          <a:ext cx="1391762" cy="1392219"/>
        </a:xfrm>
        <a:prstGeom prst="rect">
          <a:avLst/>
        </a:prstGeom>
      </xdr:spPr>
    </xdr:pic>
    <xdr:clientData/>
  </xdr:twoCellAnchor>
  <xdr:twoCellAnchor editAs="oneCell">
    <xdr:from>
      <xdr:col>0</xdr:col>
      <xdr:colOff>251010</xdr:colOff>
      <xdr:row>46</xdr:row>
      <xdr:rowOff>152087</xdr:rowOff>
    </xdr:from>
    <xdr:to>
      <xdr:col>0</xdr:col>
      <xdr:colOff>1241647</xdr:colOff>
      <xdr:row>51</xdr:row>
      <xdr:rowOff>59428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9C1BB9C-F609-8627-6269-426A89B4A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81" b="16522"/>
        <a:stretch/>
      </xdr:blipFill>
      <xdr:spPr>
        <a:xfrm>
          <a:off x="251010" y="8444440"/>
          <a:ext cx="995082" cy="65473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</xdr:colOff>
      <xdr:row>136</xdr:row>
      <xdr:rowOff>44823</xdr:rowOff>
    </xdr:from>
    <xdr:to>
      <xdr:col>1</xdr:col>
      <xdr:colOff>0</xdr:colOff>
      <xdr:row>145</xdr:row>
      <xdr:rowOff>60213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E4D5C13-4882-6409-BD35-5D7D4093A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5" y="23424776"/>
          <a:ext cx="1389530" cy="138953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157843</xdr:colOff>
      <xdr:row>14</xdr:row>
      <xdr:rowOff>119745</xdr:rowOff>
    </xdr:from>
    <xdr:to>
      <xdr:col>0</xdr:col>
      <xdr:colOff>1333500</xdr:colOff>
      <xdr:row>21</xdr:row>
      <xdr:rowOff>21457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1CADA13-87CD-7F31-C0E5-701EFCB08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8" t="15889" r="6415" b="14140"/>
        <a:stretch/>
      </xdr:blipFill>
      <xdr:spPr>
        <a:xfrm>
          <a:off x="157843" y="3525885"/>
          <a:ext cx="1175657" cy="972957"/>
        </a:xfrm>
        <a:prstGeom prst="rect">
          <a:avLst/>
        </a:prstGeom>
      </xdr:spPr>
    </xdr:pic>
    <xdr:clientData/>
  </xdr:twoCellAnchor>
  <xdr:twoCellAnchor editAs="oneCell">
    <xdr:from>
      <xdr:col>0</xdr:col>
      <xdr:colOff>150223</xdr:colOff>
      <xdr:row>7</xdr:row>
      <xdr:rowOff>55516</xdr:rowOff>
    </xdr:from>
    <xdr:to>
      <xdr:col>0</xdr:col>
      <xdr:colOff>1279526</xdr:colOff>
      <xdr:row>14</xdr:row>
      <xdr:rowOff>21384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E597BB6-27E2-4D3D-3BD7-B6B3D157E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44" t="9384" r="12045" b="20308"/>
        <a:stretch/>
      </xdr:blipFill>
      <xdr:spPr>
        <a:xfrm>
          <a:off x="150223" y="2394856"/>
          <a:ext cx="1129938" cy="10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</xdr:colOff>
      <xdr:row>125</xdr:row>
      <xdr:rowOff>57149</xdr:rowOff>
    </xdr:from>
    <xdr:to>
      <xdr:col>0</xdr:col>
      <xdr:colOff>1424988</xdr:colOff>
      <xdr:row>134</xdr:row>
      <xdr:rowOff>40549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EA5E4EF-193C-8C26-0C98-0BA4B1BAA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3" t="2101" r="8963" b="15126"/>
        <a:stretch/>
      </xdr:blipFill>
      <xdr:spPr>
        <a:xfrm>
          <a:off x="39188" y="21907499"/>
          <a:ext cx="1373735" cy="135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52</xdr:row>
      <xdr:rowOff>21771</xdr:rowOff>
    </xdr:from>
    <xdr:to>
      <xdr:col>1</xdr:col>
      <xdr:colOff>0</xdr:colOff>
      <xdr:row>57</xdr:row>
      <xdr:rowOff>137069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2CC7B57-965F-0422-7563-5A51B222E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1" t="2660" r="1401" b="36695"/>
        <a:stretch/>
      </xdr:blipFill>
      <xdr:spPr>
        <a:xfrm>
          <a:off x="21772" y="9220200"/>
          <a:ext cx="1403050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103</xdr:row>
      <xdr:rowOff>32657</xdr:rowOff>
    </xdr:from>
    <xdr:to>
      <xdr:col>1</xdr:col>
      <xdr:colOff>0</xdr:colOff>
      <xdr:row>109</xdr:row>
      <xdr:rowOff>136252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21DD6D6-19B6-BA86-A0FF-A896F57E6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5" t="5042" r="7563" b="33894"/>
        <a:stretch/>
      </xdr:blipFill>
      <xdr:spPr>
        <a:xfrm>
          <a:off x="54428" y="18527486"/>
          <a:ext cx="1366706" cy="1001485"/>
        </a:xfrm>
        <a:prstGeom prst="rect">
          <a:avLst/>
        </a:prstGeom>
      </xdr:spPr>
    </xdr:pic>
    <xdr:clientData/>
  </xdr:twoCellAnchor>
  <xdr:twoCellAnchor editAs="oneCell">
    <xdr:from>
      <xdr:col>0</xdr:col>
      <xdr:colOff>62050</xdr:colOff>
      <xdr:row>22</xdr:row>
      <xdr:rowOff>18505</xdr:rowOff>
    </xdr:from>
    <xdr:to>
      <xdr:col>1</xdr:col>
      <xdr:colOff>0</xdr:colOff>
      <xdr:row>30</xdr:row>
      <xdr:rowOff>137069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C2CA61-0420-DAB3-7DF5-AC83EE82E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" t="2100" r="35154" b="35995"/>
        <a:stretch/>
      </xdr:blipFill>
      <xdr:spPr>
        <a:xfrm>
          <a:off x="62050" y="4643845"/>
          <a:ext cx="1362044" cy="1349829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102578</xdr:colOff>
      <xdr:row>39</xdr:row>
      <xdr:rowOff>136035</xdr:rowOff>
    </xdr:from>
    <xdr:to>
      <xdr:col>0</xdr:col>
      <xdr:colOff>1349565</xdr:colOff>
      <xdr:row>42</xdr:row>
      <xdr:rowOff>136036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297B0207-12C8-3856-86C6-9897B7EDA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521" t="40956" r="23683" b="39557"/>
        <a:stretch/>
      </xdr:blipFill>
      <xdr:spPr>
        <a:xfrm>
          <a:off x="102578" y="6979381"/>
          <a:ext cx="1246987" cy="4615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123265</xdr:rowOff>
    </xdr:from>
    <xdr:to>
      <xdr:col>0</xdr:col>
      <xdr:colOff>1411942</xdr:colOff>
      <xdr:row>189</xdr:row>
      <xdr:rowOff>123265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9CF60BB-2401-7CFD-635A-1AC368166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30912"/>
          <a:ext cx="1411942" cy="1411942"/>
        </a:xfrm>
        <a:prstGeom prst="rect">
          <a:avLst/>
        </a:prstGeom>
      </xdr:spPr>
    </xdr:pic>
    <xdr:clientData/>
  </xdr:twoCellAnchor>
  <xdr:twoCellAnchor editAs="oneCell">
    <xdr:from>
      <xdr:col>12</xdr:col>
      <xdr:colOff>568426</xdr:colOff>
      <xdr:row>0</xdr:row>
      <xdr:rowOff>190736</xdr:rowOff>
    </xdr:from>
    <xdr:to>
      <xdr:col>14</xdr:col>
      <xdr:colOff>65863</xdr:colOff>
      <xdr:row>1</xdr:row>
      <xdr:rowOff>288471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D05A6E9-D9A9-A35C-6AE6-517EBE15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7469" y="190736"/>
          <a:ext cx="803723" cy="7726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123266</xdr:rowOff>
    </xdr:from>
    <xdr:to>
      <xdr:col>0</xdr:col>
      <xdr:colOff>1232646</xdr:colOff>
      <xdr:row>121</xdr:row>
      <xdr:rowOff>100853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837F4B9B-654D-50D6-792A-E9A3A45F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80207"/>
          <a:ext cx="1232646" cy="1232646"/>
        </a:xfrm>
        <a:prstGeom prst="rect">
          <a:avLst/>
        </a:prstGeom>
      </xdr:spPr>
    </xdr:pic>
    <xdr:clientData/>
  </xdr:twoCellAnchor>
  <xdr:twoCellAnchor editAs="oneCell">
    <xdr:from>
      <xdr:col>0</xdr:col>
      <xdr:colOff>1060205</xdr:colOff>
      <xdr:row>120</xdr:row>
      <xdr:rowOff>236</xdr:rowOff>
    </xdr:from>
    <xdr:to>
      <xdr:col>0</xdr:col>
      <xdr:colOff>1431229</xdr:colOff>
      <xdr:row>122</xdr:row>
      <xdr:rowOff>44824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19D756A-6BED-4BF2-9CF5-BF8F97E86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05" y="19655354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564841</xdr:colOff>
      <xdr:row>13</xdr:row>
      <xdr:rowOff>19208</xdr:rowOff>
    </xdr:from>
    <xdr:to>
      <xdr:col>0</xdr:col>
      <xdr:colOff>835006</xdr:colOff>
      <xdr:row>14</xdr:row>
      <xdr:rowOff>123264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F7CD2C0-D025-4789-A052-69956EC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41" y="2887914"/>
          <a:ext cx="270165" cy="260938"/>
        </a:xfrm>
        <a:prstGeom prst="rect">
          <a:avLst/>
        </a:prstGeom>
      </xdr:spPr>
    </xdr:pic>
    <xdr:clientData/>
  </xdr:twoCellAnchor>
  <xdr:twoCellAnchor editAs="oneCell">
    <xdr:from>
      <xdr:col>0</xdr:col>
      <xdr:colOff>6020</xdr:colOff>
      <xdr:row>28</xdr:row>
      <xdr:rowOff>116668</xdr:rowOff>
    </xdr:from>
    <xdr:to>
      <xdr:col>0</xdr:col>
      <xdr:colOff>377044</xdr:colOff>
      <xdr:row>31</xdr:row>
      <xdr:rowOff>4373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0262C21-38C2-4F61-9689-5FAA77CE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0" y="5338609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853184</xdr:colOff>
      <xdr:row>37</xdr:row>
      <xdr:rowOff>123392</xdr:rowOff>
    </xdr:from>
    <xdr:to>
      <xdr:col>0</xdr:col>
      <xdr:colOff>1224208</xdr:colOff>
      <xdr:row>40</xdr:row>
      <xdr:rowOff>11097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7E6D29F-0D0F-4338-804D-F33AB3944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184" y="6757274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605117</xdr:colOff>
      <xdr:row>44</xdr:row>
      <xdr:rowOff>134471</xdr:rowOff>
    </xdr:from>
    <xdr:to>
      <xdr:col>0</xdr:col>
      <xdr:colOff>976141</xdr:colOff>
      <xdr:row>47</xdr:row>
      <xdr:rowOff>22176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CE159D8-3ED4-4839-89C3-6462C8EB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7" y="7866530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515471</xdr:colOff>
      <xdr:row>58</xdr:row>
      <xdr:rowOff>0</xdr:rowOff>
    </xdr:from>
    <xdr:to>
      <xdr:col>0</xdr:col>
      <xdr:colOff>886495</xdr:colOff>
      <xdr:row>60</xdr:row>
      <xdr:rowOff>44588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289DDDD-0A81-48A7-9852-746805E65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1" y="9928412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70</xdr:row>
      <xdr:rowOff>100852</xdr:rowOff>
    </xdr:from>
    <xdr:to>
      <xdr:col>0</xdr:col>
      <xdr:colOff>841671</xdr:colOff>
      <xdr:row>72</xdr:row>
      <xdr:rowOff>145439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FFBC847-FDB0-42A8-826B-80BE90C04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7" y="11911852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84</xdr:row>
      <xdr:rowOff>33618</xdr:rowOff>
    </xdr:from>
    <xdr:to>
      <xdr:col>0</xdr:col>
      <xdr:colOff>763230</xdr:colOff>
      <xdr:row>86</xdr:row>
      <xdr:rowOff>78205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63025745-A9FD-4DE5-88FA-B6548E4D5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06" y="14040971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1037665</xdr:colOff>
      <xdr:row>90</xdr:row>
      <xdr:rowOff>29136</xdr:rowOff>
    </xdr:from>
    <xdr:to>
      <xdr:col>0</xdr:col>
      <xdr:colOff>1408689</xdr:colOff>
      <xdr:row>92</xdr:row>
      <xdr:rowOff>73723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F1E9036-0D5A-4B40-B472-37102A936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5" y="14977783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</xdr:colOff>
      <xdr:row>99</xdr:row>
      <xdr:rowOff>136712</xdr:rowOff>
    </xdr:from>
    <xdr:to>
      <xdr:col>0</xdr:col>
      <xdr:colOff>395677</xdr:colOff>
      <xdr:row>102</xdr:row>
      <xdr:rowOff>24417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D834853-01D8-44F5-B933-4C434BDE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3" y="16497300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1039906</xdr:colOff>
      <xdr:row>108</xdr:row>
      <xdr:rowOff>53789</xdr:rowOff>
    </xdr:from>
    <xdr:to>
      <xdr:col>0</xdr:col>
      <xdr:colOff>1410930</xdr:colOff>
      <xdr:row>110</xdr:row>
      <xdr:rowOff>98376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71D456B-227B-454A-8466-C57D01F7D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906" y="17826318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1057836</xdr:colOff>
      <xdr:row>132</xdr:row>
      <xdr:rowOff>138954</xdr:rowOff>
    </xdr:from>
    <xdr:to>
      <xdr:col>0</xdr:col>
      <xdr:colOff>1428860</xdr:colOff>
      <xdr:row>135</xdr:row>
      <xdr:rowOff>26659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1DC497A-424B-4788-9FB6-C793FC78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36" y="21676660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437030</xdr:colOff>
      <xdr:row>143</xdr:row>
      <xdr:rowOff>123264</xdr:rowOff>
    </xdr:from>
    <xdr:to>
      <xdr:col>0</xdr:col>
      <xdr:colOff>808054</xdr:colOff>
      <xdr:row>146</xdr:row>
      <xdr:rowOff>10969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1615805C-6F24-47A9-ACD7-F2CF75BA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3386676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29135</xdr:rowOff>
    </xdr:from>
    <xdr:to>
      <xdr:col>0</xdr:col>
      <xdr:colOff>371024</xdr:colOff>
      <xdr:row>157</xdr:row>
      <xdr:rowOff>73723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CF94F14-EE20-4E6D-BE22-693B898F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19959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976032</xdr:colOff>
      <xdr:row>167</xdr:row>
      <xdr:rowOff>127748</xdr:rowOff>
    </xdr:from>
    <xdr:to>
      <xdr:col>0</xdr:col>
      <xdr:colOff>1347056</xdr:colOff>
      <xdr:row>170</xdr:row>
      <xdr:rowOff>15453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7FBFDB1-947A-4664-AC2E-03A82BD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032" y="27201160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187</xdr:row>
      <xdr:rowOff>190501</xdr:rowOff>
    </xdr:from>
    <xdr:to>
      <xdr:col>0</xdr:col>
      <xdr:colOff>449465</xdr:colOff>
      <xdr:row>189</xdr:row>
      <xdr:rowOff>145441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6DF937D3-EAFA-4C30-9DD4-B0BE4F79D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31107530"/>
          <a:ext cx="371024" cy="35835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147</xdr:row>
      <xdr:rowOff>22412</xdr:rowOff>
    </xdr:from>
    <xdr:to>
      <xdr:col>0</xdr:col>
      <xdr:colOff>1311549</xdr:colOff>
      <xdr:row>154</xdr:row>
      <xdr:rowOff>146138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DDB0B-3601-468D-B0DC-E990BACE1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" y="23913353"/>
          <a:ext cx="1266726" cy="126672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157</xdr:row>
      <xdr:rowOff>123265</xdr:rowOff>
    </xdr:from>
    <xdr:to>
      <xdr:col>0</xdr:col>
      <xdr:colOff>1240040</xdr:colOff>
      <xdr:row>167</xdr:row>
      <xdr:rowOff>76476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F74B5-7F1C-4302-AFB4-A0B01475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25627853"/>
          <a:ext cx="1217628" cy="1522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1296185</xdr:colOff>
      <xdr:row>178</xdr:row>
      <xdr:rowOff>85950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97D66E-BC7D-46BB-BFC9-6FEB29F2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02647"/>
          <a:ext cx="1296185" cy="1296185"/>
        </a:xfrm>
        <a:prstGeom prst="rect">
          <a:avLst/>
        </a:prstGeom>
      </xdr:spPr>
    </xdr:pic>
    <xdr:clientData/>
  </xdr:twoCellAnchor>
  <xdr:twoCellAnchor editAs="oneCell">
    <xdr:from>
      <xdr:col>0</xdr:col>
      <xdr:colOff>1061197</xdr:colOff>
      <xdr:row>177</xdr:row>
      <xdr:rowOff>78443</xdr:rowOff>
    </xdr:from>
    <xdr:to>
      <xdr:col>0</xdr:col>
      <xdr:colOff>1432221</xdr:colOff>
      <xdr:row>179</xdr:row>
      <xdr:rowOff>33383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3DE117-45DF-4100-82CA-650369D33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197" y="28989619"/>
          <a:ext cx="371024" cy="3583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103201</xdr:colOff>
      <xdr:row>0</xdr:row>
      <xdr:rowOff>61789</xdr:rowOff>
    </xdr:from>
    <xdr:to>
      <xdr:col>2</xdr:col>
      <xdr:colOff>1072515</xdr:colOff>
      <xdr:row>1</xdr:row>
      <xdr:rowOff>148915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3787620-CDBF-0818-599E-98DB4AD16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1543381" y="61789"/>
          <a:ext cx="940739" cy="746256"/>
        </a:xfrm>
        <a:prstGeom prst="rect">
          <a:avLst/>
        </a:prstGeom>
      </xdr:spPr>
    </xdr:pic>
    <xdr:clientData/>
  </xdr:twoCellAnchor>
  <xdr:twoCellAnchor editAs="oneCell">
    <xdr:from>
      <xdr:col>0</xdr:col>
      <xdr:colOff>3314</xdr:colOff>
      <xdr:row>42</xdr:row>
      <xdr:rowOff>62948</xdr:rowOff>
    </xdr:from>
    <xdr:to>
      <xdr:col>0</xdr:col>
      <xdr:colOff>1337201</xdr:colOff>
      <xdr:row>47</xdr:row>
      <xdr:rowOff>149501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66199F45-C22E-4B87-E1A1-2A613F019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9" t="27404" r="12057" b="27006"/>
        <a:stretch/>
      </xdr:blipFill>
      <xdr:spPr>
        <a:xfrm>
          <a:off x="3314" y="7311473"/>
          <a:ext cx="1333887" cy="8485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</xdr:row>
      <xdr:rowOff>76200</xdr:rowOff>
    </xdr:from>
    <xdr:to>
      <xdr:col>0</xdr:col>
      <xdr:colOff>1435823</xdr:colOff>
      <xdr:row>19</xdr:row>
      <xdr:rowOff>66675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A8077F0C-C7B4-15BA-6F34-AF424D82B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03" t="23003" r="24791" b="21990"/>
        <a:stretch/>
      </xdr:blipFill>
      <xdr:spPr>
        <a:xfrm>
          <a:off x="38100" y="2305050"/>
          <a:ext cx="1397723" cy="1514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103201</xdr:colOff>
      <xdr:row>0</xdr:row>
      <xdr:rowOff>61789</xdr:rowOff>
    </xdr:from>
    <xdr:ext cx="997889" cy="757686"/>
    <xdr:pic>
      <xdr:nvPicPr>
        <xdr:cNvPr id="2" name="Slika 2">
          <a:extLst>
            <a:ext uri="{FF2B5EF4-FFF2-40B4-BE49-F238E27FC236}">
              <a16:creationId xmlns:a16="http://schemas.microsoft.com/office/drawing/2014/main" id="{9380C102-6579-4D8F-8828-05B13CF8A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712801" y="61789"/>
          <a:ext cx="997889" cy="75768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37</xdr:row>
      <xdr:rowOff>104775</xdr:rowOff>
    </xdr:from>
    <xdr:to>
      <xdr:col>0</xdr:col>
      <xdr:colOff>1085850</xdr:colOff>
      <xdr:row>45</xdr:row>
      <xdr:rowOff>57004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0BDC60-E728-15D6-81E6-00FDC4BA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4579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</xdr:row>
      <xdr:rowOff>66674</xdr:rowOff>
    </xdr:from>
    <xdr:to>
      <xdr:col>0</xdr:col>
      <xdr:colOff>1085354</xdr:colOff>
      <xdr:row>18</xdr:row>
      <xdr:rowOff>29103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93A26B-C97F-D8B4-6D87-35521437A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790824"/>
          <a:ext cx="961529" cy="991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95174</xdr:rowOff>
    </xdr:from>
    <xdr:to>
      <xdr:col>0</xdr:col>
      <xdr:colOff>1086840</xdr:colOff>
      <xdr:row>33</xdr:row>
      <xdr:rowOff>97922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1D64012-0295-8F09-F3AC-E61A5146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0949"/>
          <a:ext cx="1071600" cy="10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59056</xdr:colOff>
      <xdr:row>56</xdr:row>
      <xdr:rowOff>15241</xdr:rowOff>
    </xdr:from>
    <xdr:to>
      <xdr:col>1</xdr:col>
      <xdr:colOff>778</xdr:colOff>
      <xdr:row>61</xdr:row>
      <xdr:rowOff>95250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D529FCC-D052-5202-9A7C-0A24EF9BE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0" t="22931" r="5795" b="17764"/>
        <a:stretch/>
      </xdr:blipFill>
      <xdr:spPr bwMode="auto">
        <a:xfrm>
          <a:off x="59056" y="8768716"/>
          <a:ext cx="1096152" cy="7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48064</xdr:rowOff>
    </xdr:from>
    <xdr:to>
      <xdr:col>0</xdr:col>
      <xdr:colOff>1129878</xdr:colOff>
      <xdr:row>74</xdr:row>
      <xdr:rowOff>14654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BF3D614B-4E9B-B81D-497D-4FC3E8639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76" b="13362"/>
        <a:stretch/>
      </xdr:blipFill>
      <xdr:spPr bwMode="auto">
        <a:xfrm>
          <a:off x="0" y="9331276"/>
          <a:ext cx="1148928" cy="88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114300</xdr:rowOff>
    </xdr:from>
    <xdr:to>
      <xdr:col>0</xdr:col>
      <xdr:colOff>1082532</xdr:colOff>
      <xdr:row>109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011AE-9332-41AB-8306-F0AA3F03A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4335125"/>
          <a:ext cx="108253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133350</xdr:rowOff>
    </xdr:from>
    <xdr:to>
      <xdr:col>0</xdr:col>
      <xdr:colOff>1114425</xdr:colOff>
      <xdr:row>91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52CE12-1DC2-490F-AC09-8CB8BEFE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253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</xdr:row>
      <xdr:rowOff>352425</xdr:rowOff>
    </xdr:from>
    <xdr:to>
      <xdr:col>0</xdr:col>
      <xdr:colOff>952500</xdr:colOff>
      <xdr:row>11</xdr:row>
      <xdr:rowOff>38100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22D5DC-822E-6D2A-B965-77CF61EDF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8097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111</xdr:row>
      <xdr:rowOff>57150</xdr:rowOff>
    </xdr:from>
    <xdr:to>
      <xdr:col>0</xdr:col>
      <xdr:colOff>1057276</xdr:colOff>
      <xdr:row>119</xdr:row>
      <xdr:rowOff>85725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5314C1C-DEA7-9ACF-050F-F9EB0411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6592550"/>
          <a:ext cx="1047750" cy="1047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1272540</xdr:colOff>
      <xdr:row>0</xdr:row>
      <xdr:rowOff>1</xdr:rowOff>
    </xdr:from>
    <xdr:to>
      <xdr:col>4</xdr:col>
      <xdr:colOff>796291</xdr:colOff>
      <xdr:row>1</xdr:row>
      <xdr:rowOff>148752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98466B98-5A89-FF08-47AF-343F4E0B3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71" b="32192"/>
        <a:stretch/>
      </xdr:blipFill>
      <xdr:spPr>
        <a:xfrm>
          <a:off x="1272540" y="1"/>
          <a:ext cx="2434591" cy="82121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27</xdr:row>
      <xdr:rowOff>38100</xdr:rowOff>
    </xdr:from>
    <xdr:to>
      <xdr:col>0</xdr:col>
      <xdr:colOff>1413509</xdr:colOff>
      <xdr:row>38</xdr:row>
      <xdr:rowOff>136343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6BEBEC-7A49-2A61-D2CD-E662E18E7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4" t="6961" r="54216" b="39706"/>
        <a:stretch/>
      </xdr:blipFill>
      <xdr:spPr>
        <a:xfrm>
          <a:off x="76200" y="5425440"/>
          <a:ext cx="1348739" cy="177654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</xdr:row>
      <xdr:rowOff>68580</xdr:rowOff>
    </xdr:from>
    <xdr:to>
      <xdr:col>0</xdr:col>
      <xdr:colOff>1409700</xdr:colOff>
      <xdr:row>14</xdr:row>
      <xdr:rowOff>111370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E79E0B-CD78-802D-10F1-6B1886B69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6" t="13235" r="48823" b="51961"/>
        <a:stretch/>
      </xdr:blipFill>
      <xdr:spPr>
        <a:xfrm>
          <a:off x="60960" y="2407920"/>
          <a:ext cx="1348740" cy="110578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57</xdr:row>
      <xdr:rowOff>38100</xdr:rowOff>
    </xdr:from>
    <xdr:to>
      <xdr:col>0</xdr:col>
      <xdr:colOff>1425569</xdr:colOff>
      <xdr:row>61</xdr:row>
      <xdr:rowOff>150090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2EB25BF-CC43-6E0C-E5C0-2BDAE7DDE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9" t="11373" r="20293" b="52941"/>
        <a:stretch/>
      </xdr:blipFill>
      <xdr:spPr>
        <a:xfrm>
          <a:off x="53340" y="9997440"/>
          <a:ext cx="1372229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375512</xdr:colOff>
      <xdr:row>63</xdr:row>
      <xdr:rowOff>91380</xdr:rowOff>
    </xdr:from>
    <xdr:to>
      <xdr:col>0</xdr:col>
      <xdr:colOff>1120140</xdr:colOff>
      <xdr:row>77</xdr:row>
      <xdr:rowOff>35240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F6D79E0-7E04-0998-C3BE-6E9B2BD61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8922" r="27157" b="11177"/>
        <a:stretch/>
      </xdr:blipFill>
      <xdr:spPr>
        <a:xfrm flipH="1">
          <a:off x="375512" y="10965120"/>
          <a:ext cx="737008" cy="115734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48</xdr:row>
      <xdr:rowOff>134837</xdr:rowOff>
    </xdr:from>
    <xdr:to>
      <xdr:col>0</xdr:col>
      <xdr:colOff>1089055</xdr:colOff>
      <xdr:row>56</xdr:row>
      <xdr:rowOff>110661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F682002-0D71-5153-4219-F5F876A4D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7" t="12843" r="44902" b="19412"/>
        <a:stretch/>
      </xdr:blipFill>
      <xdr:spPr>
        <a:xfrm>
          <a:off x="251460" y="8722577"/>
          <a:ext cx="837595" cy="11835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</xdr:colOff>
      <xdr:row>0</xdr:row>
      <xdr:rowOff>54667</xdr:rowOff>
    </xdr:from>
    <xdr:to>
      <xdr:col>2</xdr:col>
      <xdr:colOff>1085850</xdr:colOff>
      <xdr:row>1</xdr:row>
      <xdr:rowOff>132693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D73867A0-669A-ED1C-AEBB-E364AFD1F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49" b="12157"/>
        <a:stretch/>
      </xdr:blipFill>
      <xdr:spPr>
        <a:xfrm>
          <a:off x="1493520" y="54667"/>
          <a:ext cx="1022985" cy="760016"/>
        </a:xfrm>
        <a:prstGeom prst="rect">
          <a:avLst/>
        </a:prstGeom>
      </xdr:spPr>
    </xdr:pic>
    <xdr:clientData/>
  </xdr:twoCellAnchor>
  <xdr:twoCellAnchor editAs="oneCell">
    <xdr:from>
      <xdr:col>0</xdr:col>
      <xdr:colOff>54114</xdr:colOff>
      <xdr:row>4</xdr:row>
      <xdr:rowOff>22915</xdr:rowOff>
    </xdr:from>
    <xdr:to>
      <xdr:col>0</xdr:col>
      <xdr:colOff>1326415</xdr:colOff>
      <xdr:row>8</xdr:row>
      <xdr:rowOff>127415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DB4D46C-1439-EE2C-468B-833D98DCD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503" t="35332" r="25556" b="36306"/>
        <a:stretch/>
      </xdr:blipFill>
      <xdr:spPr>
        <a:xfrm>
          <a:off x="54114" y="1430958"/>
          <a:ext cx="1272301" cy="767109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124238</xdr:colOff>
      <xdr:row>9</xdr:row>
      <xdr:rowOff>139562</xdr:rowOff>
    </xdr:from>
    <xdr:to>
      <xdr:col>0</xdr:col>
      <xdr:colOff>1344858</xdr:colOff>
      <xdr:row>15</xdr:row>
      <xdr:rowOff>28024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6EDDAC19-EF00-BA0C-BA74-880A52A1A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99" t="36851" r="22946" b="31862"/>
        <a:stretch/>
      </xdr:blipFill>
      <xdr:spPr>
        <a:xfrm>
          <a:off x="124238" y="2201932"/>
          <a:ext cx="1220620" cy="782984"/>
        </a:xfrm>
        <a:prstGeom prst="rect">
          <a:avLst/>
        </a:prstGeom>
      </xdr:spPr>
    </xdr:pic>
    <xdr:clientData/>
  </xdr:twoCellAnchor>
  <xdr:twoCellAnchor editAs="oneCell">
    <xdr:from>
      <xdr:col>0</xdr:col>
      <xdr:colOff>67502</xdr:colOff>
      <xdr:row>15</xdr:row>
      <xdr:rowOff>98148</xdr:rowOff>
    </xdr:from>
    <xdr:to>
      <xdr:col>0</xdr:col>
      <xdr:colOff>1353245</xdr:colOff>
      <xdr:row>20</xdr:row>
      <xdr:rowOff>99390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983CC1F-98D2-7F56-9F72-B7C893AD5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003" t="39309" r="21208" b="31228"/>
        <a:stretch/>
      </xdr:blipFill>
      <xdr:spPr>
        <a:xfrm>
          <a:off x="67502" y="3046757"/>
          <a:ext cx="1285743" cy="746677"/>
        </a:xfrm>
        <a:prstGeom prst="rect">
          <a:avLst/>
        </a:prstGeom>
      </xdr:spPr>
    </xdr:pic>
    <xdr:clientData/>
  </xdr:twoCellAnchor>
  <xdr:twoCellAnchor editAs="oneCell">
    <xdr:from>
      <xdr:col>0</xdr:col>
      <xdr:colOff>82827</xdr:colOff>
      <xdr:row>18</xdr:row>
      <xdr:rowOff>99392</xdr:rowOff>
    </xdr:from>
    <xdr:to>
      <xdr:col>0</xdr:col>
      <xdr:colOff>1209261</xdr:colOff>
      <xdr:row>28</xdr:row>
      <xdr:rowOff>57978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E41DDBA-25DA-871A-D557-D8BA61AC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7" y="3495262"/>
          <a:ext cx="1126434" cy="1126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6_PRODAJA\01_SPLO&#352;NO_DIGITALNA%20POLICA\POSODABLJANJE%20STOCK\01_Illusion_Climb1_Infinity_Stock.xlsx" TargetMode="External"/><Relationship Id="rId1" Type="http://schemas.openxmlformats.org/officeDocument/2006/relationships/externalLinkPath" Target="POSODABLJANJE%20STOCK/01_Illusion_Climb1_Infinity_Stock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03_PONUDBE/10_PONUDBE%202023/04_OPRIMKI%20IN%20VOLUMNI/04-139-1-2023%20Zaloga%20CST/04-139-1-2023%20Zaloga%20CST.xlsx" TargetMode="External"/><Relationship Id="rId2" Type="http://schemas.openxmlformats.org/officeDocument/2006/relationships/externalLinkPath" Target="file:///Z:\06_PRODAJA\03_PONUDBE\10_PONUDBE%202023\04_OPRIMKI%20IN%20VOLUMNI\04-139-1-2023%20Zaloga%20CST\04-139-1-2023%20Zaloga%20CST.xlsx" TargetMode="External"/><Relationship Id="rId1" Type="http://schemas.openxmlformats.org/officeDocument/2006/relationships/externalLinkPath" Target="/06_PRODAJA/03_PONUDBE/10_PONUDBE%202023/04_OPRIMKI%20IN%20VOLUMNI/04-139-1-2023%20Zaloga%20CST/04-139-1-2023%20Zaloga%20C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01_Illusion_Climb1_Infinity_Sto"/>
      <sheetName val="List1"/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Illusion Insert"/>
      <sheetName val="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Order"/>
      <sheetName val="04-139-1-2023 Zaloga C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3A64F6C0-6CF4-4BAA-BD8E-61FC442FF46D}" autoFormatId="16" applyNumberFormats="0" applyBorderFormats="0" applyFontFormats="0" applyPatternFormats="0" applyAlignmentFormats="0" applyWidthHeightFormats="0">
  <queryTableRefresh nextId="2">
    <queryTableFields count="1">
      <queryTableField id="1" name="EURCAD_Rate" tableColumnId="1"/>
    </queryTableFields>
  </queryTableRefresh>
</queryTable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2486008-BA33-4648-B66E-CA5219AAFE74}" name="Tabela10" displayName="Tabela10" ref="C22:F32" totalsRowShown="0" headerRowDxfId="242" dataDxfId="241">
  <autoFilter ref="C22:F32" xr:uid="{42486008-BA33-4648-B66E-CA5219AAFE74}"/>
  <tableColumns count="4">
    <tableColumn id="1" xr3:uid="{50C59190-56CA-40F2-95FD-738073E061A9}" name="COLLECTION" dataDxfId="240"/>
    <tableColumn id="2" xr3:uid="{23A4D1EA-BC1A-453C-8FFF-7682069E9D35}" name="PCS" dataDxfId="239"/>
    <tableColumn id="3" xr3:uid="{11CB39DA-D410-4C78-B258-09A2E46AFC11}" name="Weight (kg)" dataDxfId="238"/>
    <tableColumn id="4" xr3:uid="{C7E1A0ED-E7E2-4E07-8AA4-9EB786483DBD}" name="Price without VAT" dataDxfId="237"/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1113C52-8BD1-470E-AC45-C30AF90D3614}" name="Tabela136910" displayName="Tabela136910" ref="B7:AC12" totalsRowShown="0" headerRowDxfId="273" dataDxfId="272" tableBorderDxfId="271">
  <autoFilter ref="B7:AC12" xr:uid="{EF5E175A-7E95-4FBC-896C-B220F4E279D6}"/>
  <tableColumns count="28">
    <tableColumn id="1" xr3:uid="{8A3F37C5-36B0-4A30-88AC-45B44FD0599B}" name="PRODUCTION CODE" dataDxfId="270"/>
    <tableColumn id="2" xr3:uid="{83509725-3959-4C17-97FE-EC69942BAC02}" name="NAME" dataDxfId="269"/>
    <tableColumn id="3" xr3:uid="{A0205FBC-6684-41B3-BEEC-D58F0862E471}" name="CODE" dataDxfId="268"/>
    <tableColumn id="4" xr3:uid="{CBB3DC57-3FA3-45F5-A928-83E4B05A7E99}" name="Number of pcs" dataDxfId="267"/>
    <tableColumn id="5" xr3:uid="{87A058EB-D321-4922-9C48-25F3491CBFD8}" name="Size (cm)" dataDxfId="266"/>
    <tableColumn id="6" xr3:uid="{4A25FCBF-A2DF-465B-80F2-096EB062A57C}" name="Weight (kg)" dataDxfId="265"/>
    <tableColumn id="8" xr3:uid="{B11AE6CF-0D8E-41BA-939E-7BD105182C43}" name="PRICE" dataDxfId="264"/>
    <tableColumn id="26" xr3:uid="{40925275-CB15-416D-9311-A43321030C9B}" name="NEW PRICE" dataDxfId="263">
      <calculatedColumnFormula>ROUNDUP(Tabela136910[[#This Row],[PRICE]]*(1+PRICES!$C$9),0)</calculatedColumnFormula>
    </tableColumn>
    <tableColumn id="21" xr3:uid="{8A09AA5F-5CCB-4372-8CE8-B6381FD47A8A}" name="DISCOUNT per piece [%]" dataDxfId="262"/>
    <tableColumn id="22" xr3:uid="{567063B5-C0B4-4382-912A-FABDF256B787}" name="DISCOUNT per piece [EUR]" dataDxfId="261">
      <calculatedColumnFormula>Tabela136910[[#This Row],[PRICE]]*Tabela136910[[#This Row],[DISCOUNT per piece '[%']]]</calculatedColumnFormula>
    </tableColumn>
    <tableColumn id="24" xr3:uid="{4B7934D5-2190-42FD-AAF9-F8B4BEE717D0}" name="PROMOTIONAL PRICE" dataDxfId="260">
      <calculatedColumnFormula>Tabela136910[[#This Row],[PRICE]]*(1-Tabela136910[[#This Row],[DISCOUNT per piece '[%']]])</calculatedColumnFormula>
    </tableColumn>
    <tableColumn id="25" xr3:uid="{3C43FF06-AB7A-454F-A7D0-59BD0B68B1A3}" name="TOTAL PROMOTIONAL PRICE" dataDxfId="259">
      <calculatedColumnFormula>Tabela136910[[#This Row],[SETS]]*Tabela136910[[#This Row],[PROMOTIONAL PRICE]]</calculatedColumnFormula>
    </tableColumn>
    <tableColumn id="28" xr3:uid="{43008FD1-DCD9-4C3D-8F48-979634F59327}" name="CAD PRICE" dataDxfId="258">
      <calculatedColumnFormula array="1">ROUNDUP(Tabela136910[[#This Row],[NEW PRICE]]*eurofxref_daily[],2)</calculatedColumnFormula>
    </tableColumn>
    <tableColumn id="18" xr3:uid="{D3FD8841-7314-4901-995F-0AE3B801E77F}" name="TOTAL PRICE" dataDxfId="257">
      <calculatedColumnFormula>Tabela136910[[#This Row],[CAD PRICE]]*P8</calculatedColumnFormula>
    </tableColumn>
    <tableColumn id="19" xr3:uid="{32711B89-9F9D-41A5-8A50-965D34D125CF}" name="SETS" dataDxfId="256">
      <calculatedColumnFormula>SUM(Tabela136910[[#This Row],[RAL 1023]:[RAL 9005]])</calculatedColumnFormula>
    </tableColumn>
    <tableColumn id="27" xr3:uid="{13281B91-F9B1-411B-B694-FE8DE8F01313}" name="Total PCS" dataDxfId="255">
      <calculatedColumnFormula>Tabela136910[[#This Row],[Number of pcs]]*Tabela136910[[#This Row],[SETS]]</calculatedColumnFormula>
    </tableColumn>
    <tableColumn id="20" xr3:uid="{72C9F623-1DEE-4A08-81A6-AAE8668E885C}" name="SUM Weight  (kg)" dataDxfId="254">
      <calculatedColumnFormula>Tabela136910[[#This Row],[SETS]]*Tabela136910[[#This Row],[Weight (kg)]]</calculatedColumnFormula>
    </tableColumn>
    <tableColumn id="9" xr3:uid="{672A0025-2DA7-48E8-A353-06A16C3BF592}" name="RAL 1023" dataDxfId="253"/>
    <tableColumn id="10" xr3:uid="{9DEAA3E7-9270-4D61-A2F2-332ECCF10784}" name="RAL 2004" dataDxfId="252"/>
    <tableColumn id="11" xr3:uid="{7AC5DD30-4129-4C46-A6D2-672A64C54E63}" name="RAL 3020" dataDxfId="251"/>
    <tableColumn id="12" xr3:uid="{5D114E08-DB60-4494-9AA2-AD7A6C2ED348}" name="RAL 4006" dataDxfId="250"/>
    <tableColumn id="13" xr3:uid="{E6971E81-D449-464B-B01C-1376DAB892A3}" name="RAL 5015" dataDxfId="249"/>
    <tableColumn id="14" xr3:uid="{22B2361A-3C62-40D1-B875-56468C5658EC}" name="RAL 6018" dataDxfId="248"/>
    <tableColumn id="15" xr3:uid="{593CCC72-8EAA-4FE4-A9C2-A3B0CFAC22FA}" name="RAL 9010" dataDxfId="247"/>
    <tableColumn id="23" xr3:uid="{75672127-78C7-4CC5-A505-7B79A42429A2}" name="RAL 7001" dataDxfId="246"/>
    <tableColumn id="16" xr3:uid="{C4DD99E7-DDD4-449B-89FC-A135716288C4}" name="RAL 7024" dataDxfId="245"/>
    <tableColumn id="17" xr3:uid="{32C74383-C500-4E28-A867-8A99DC731776}" name="RAL 9005" dataDxfId="244"/>
    <tableColumn id="7" xr3:uid="{5F4C02F8-4C2D-46B0-9013-CECCA221A55A}" name="Custom made colour (7% add price)" dataDxfId="243"/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21CDEB9-448E-4594-88A2-61F8CA5BB5C0}" name="eurofxref_daily" displayName="eurofxref_daily" ref="A1:A2" tableType="queryTable" totalsRowShown="0" dataDxfId="1">
  <autoFilter ref="A1:A2" xr:uid="{421CDEB9-448E-4594-88A2-61F8CA5BB5C0}"/>
  <tableColumns count="1">
    <tableColumn id="1" xr3:uid="{DC439049-8FFE-4711-B93E-F6EA4DDB4254}" uniqueName="1" name="EURCAD_Rate" queryTableFieldId="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5E175A-7E95-4FBC-896C-B220F4E279D6}" name="Tabela1" displayName="Tabela1" ref="A6:U25" totalsRowShown="0" headerRowDxfId="236" dataDxfId="235" tableBorderDxfId="234">
  <autoFilter ref="A6:U25" xr:uid="{EF5E175A-7E95-4FBC-896C-B220F4E279D6}"/>
  <tableColumns count="21">
    <tableColumn id="1" xr3:uid="{5F821426-C520-4312-B8EC-228B5272CD54}" name="CODE        " dataDxfId="233"/>
    <tableColumn id="2" xr3:uid="{C32613B3-19A3-439E-BAE2-8DF26407D7C4}" name="NAME" dataDxfId="232"/>
    <tableColumn id="4" xr3:uid="{47E0587A-A0F5-4E01-83F9-E20E2ED4F506}" name="Number of pcs" dataDxfId="231"/>
    <tableColumn id="5" xr3:uid="{D0F0794B-7F78-4F51-8BE6-5C46C1221326}" name="Size (cm)" dataDxfId="230"/>
    <tableColumn id="6" xr3:uid="{CBCE318E-9318-40EC-AB11-3CD9B2EA79A8}" name="Weight (kg)" dataDxfId="229"/>
    <tableColumn id="8" xr3:uid="{241D8A3B-568B-4BE2-9775-F6EDB844A616}" name="PRICE" dataDxfId="228"/>
    <tableColumn id="18" xr3:uid="{C14870F2-744C-47CE-91D7-5FDF211990DB}" name="TOTAL PRICE" dataDxfId="227">
      <calculatedColumnFormula>Tabela1[[#This Row],[PRICE]]*H7</calculatedColumnFormula>
    </tableColumn>
    <tableColumn id="19" xr3:uid="{BC719EC9-FCD7-4771-BA84-03963F88D691}" name="SETS" dataDxfId="226">
      <calculatedColumnFormula>SUM(Tabela1[[#This Row],[RAL 1023]:[RAL 9005]])</calculatedColumnFormula>
    </tableColumn>
    <tableColumn id="20" xr3:uid="{DE3C3AE4-DBD5-4C99-BF05-7CB5355E9F63}" name="SUM Weight  (kg)" dataDxfId="225">
      <calculatedColumnFormula>Tabela1[[#This Row],[SETS]]*Tabela1[[#This Row],[Weight (kg)]]</calculatedColumnFormula>
    </tableColumn>
    <tableColumn id="21" xr3:uid="{31F6174B-92F9-4F68-8876-6C645E885FCB}" name="LOGO size and color" dataDxfId="224"/>
    <tableColumn id="22" xr3:uid="{C6252268-C699-40AC-BEEC-4CFA29986D70}" name="T-NUTS    type" dataDxfId="223"/>
    <tableColumn id="9" xr3:uid="{4EB012E3-6F6C-4911-9DC3-A9A76770A156}" name="RAL 1023" dataDxfId="222"/>
    <tableColumn id="10" xr3:uid="{F1ABE867-CCA4-4579-90EB-2E2722F4ED9C}" name="RAL 2004" dataDxfId="221"/>
    <tableColumn id="11" xr3:uid="{5425B984-918B-43A2-9046-8BE93D26AB6D}" name="RAL 3020" dataDxfId="220"/>
    <tableColumn id="12" xr3:uid="{29C95B05-6748-48F4-AC41-4699F5767E3A}" name="RAL 4006" dataDxfId="219"/>
    <tableColumn id="13" xr3:uid="{85AA240A-F38D-4D40-89C0-8A8E7D1CC59B}" name="RAL 5015" dataDxfId="218"/>
    <tableColumn id="14" xr3:uid="{DE9F2C28-08F7-4C1A-8208-C682E1EEEBCF}" name="RAL 6018" dataDxfId="217"/>
    <tableColumn id="15" xr3:uid="{1A2ACB75-E3FB-4F66-AD88-8AA535181925}" name="RAL 9010" dataDxfId="216"/>
    <tableColumn id="23" xr3:uid="{87D8C678-F662-4ABB-841A-947E11917C85}" name="RAL 7001" dataDxfId="215"/>
    <tableColumn id="16" xr3:uid="{BA2526ED-4203-4411-8656-496870ED7C33}" name="RAL 7024" dataDxfId="214"/>
    <tableColumn id="17" xr3:uid="{BBF245CE-B5FF-420C-A049-DE61544B92DD}" name="RAL 9005" dataDxfId="213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C7145D5-7615-4602-9EA0-86DF3F7E7A13}" name="Tabela13" displayName="Tabela13" ref="A6:U16" totalsRowShown="0" headerRowDxfId="212" dataDxfId="211" tableBorderDxfId="210">
  <autoFilter ref="A6:U16" xr:uid="{EF5E175A-7E95-4FBC-896C-B220F4E279D6}"/>
  <tableColumns count="21">
    <tableColumn id="1" xr3:uid="{ED0EF949-7437-4F3C-897B-7C38A12B426C}" name="CODE        " dataDxfId="209"/>
    <tableColumn id="2" xr3:uid="{28F8C2CC-5201-45D3-856B-44288845B2C8}" name="NAME" dataDxfId="208"/>
    <tableColumn id="4" xr3:uid="{A5FE7BAA-BD0A-4F2E-BD90-1D8CC11294B6}" name="Number of pcs" dataDxfId="207"/>
    <tableColumn id="5" xr3:uid="{6EA03CA2-D621-4559-84ED-1705E4D21AC0}" name="Size (cm)" dataDxfId="206"/>
    <tableColumn id="6" xr3:uid="{D3883CAD-8F6B-48F7-82EB-8590A293A598}" name="Weight (kg)" dataDxfId="205"/>
    <tableColumn id="8" xr3:uid="{4E7D7886-557C-4666-B364-D69410E43C27}" name="PRICE" dataDxfId="204"/>
    <tableColumn id="18" xr3:uid="{475D3025-B3E9-41B7-926F-3EA4E7799F27}" name="TOTAL PRICE" dataDxfId="203">
      <calculatedColumnFormula>Tabela13[[#This Row],[PRICE]]*H7</calculatedColumnFormula>
    </tableColumn>
    <tableColumn id="19" xr3:uid="{99E57C80-5008-46DF-A37F-A15063804F37}" name="SETS" dataDxfId="202">
      <calculatedColumnFormula>SUM(Tabela13[[#This Row],[RAL 1023]:[RAL 9005]])</calculatedColumnFormula>
    </tableColumn>
    <tableColumn id="20" xr3:uid="{7ABA8A0C-5CC5-4BD6-9CC1-9810B1E1CA32}" name="SUM Weight  (kg)" dataDxfId="201">
      <calculatedColumnFormula>Tabela13[[#This Row],[SETS]]*Tabela13[[#This Row],[Weight (kg)]]</calculatedColumnFormula>
    </tableColumn>
    <tableColumn id="21" xr3:uid="{F74181E3-8B82-4549-8B93-A61BF85B7A76}" name="LOGO size and color" dataDxfId="200"/>
    <tableColumn id="22" xr3:uid="{FAED8DCA-EDA7-4E1B-ABC8-C539B75284D2}" name="T-NUTS    type" dataDxfId="199"/>
    <tableColumn id="9" xr3:uid="{D0DD9E0E-3FFF-489F-9449-7FBE88E7EA3D}" name="RAL 1023" dataDxfId="198"/>
    <tableColumn id="10" xr3:uid="{44E75A2C-02D0-4B38-B912-C52FECD7DDEC}" name="RAL 2004" dataDxfId="197"/>
    <tableColumn id="11" xr3:uid="{B98C74DE-8C98-45D8-8470-7A36915B704A}" name="RAL 3020" dataDxfId="196"/>
    <tableColumn id="12" xr3:uid="{0A9EADD5-7BE1-44BD-8D95-A1896A9CCE1D}" name="RAL 4006" dataDxfId="195"/>
    <tableColumn id="13" xr3:uid="{2F455E15-10AF-4FAE-9385-BEBA39B13625}" name="RAL 5015" dataDxfId="194"/>
    <tableColumn id="14" xr3:uid="{CA0849B0-CC6E-441A-A74E-863F0F3D8063}" name="RAL 6018" dataDxfId="193"/>
    <tableColumn id="15" xr3:uid="{CE72D8CB-C3DC-4FEC-942B-6A621399C123}" name="RAL 9010" dataDxfId="192"/>
    <tableColumn id="23" xr3:uid="{F593E800-8F07-4211-B4B9-5811DC8A9972}" name="RAL 7001" dataDxfId="191"/>
    <tableColumn id="16" xr3:uid="{C4EDE710-2E05-46A2-B518-C79D2A30CF10}" name="RAL 7024" dataDxfId="190"/>
    <tableColumn id="17" xr3:uid="{238EB125-C517-43DC-91C0-F2D79A4E4768}" name="RAL 9005" dataDxfId="189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3CBF299-A0B1-45F8-9364-B5F986F96A75}" name="Tabela134" displayName="Tabela134" ref="B7:AD134" totalsRowShown="0" headerRowDxfId="188" dataDxfId="187" tableBorderDxfId="186">
  <tableColumns count="29">
    <tableColumn id="1" xr3:uid="{4790190C-C07E-414C-9666-F83DB087034E}" name="PRODUCTION CODE" dataDxfId="185"/>
    <tableColumn id="2" xr3:uid="{1AD24756-4659-4AF4-A28E-22E540E15C16}" name="NAME" dataDxfId="184"/>
    <tableColumn id="4" xr3:uid="{860C81F8-E5BE-4996-AE71-D3A22EE10DD3}" name="CODE" dataDxfId="183"/>
    <tableColumn id="5" xr3:uid="{ACCB6B49-3AC1-4243-8DF7-7385DE6DC7C9}" name="Size (cm)" dataDxfId="182"/>
    <tableColumn id="6" xr3:uid="{9365037F-3B27-4305-A1BE-E89999F78578}" name="Weight (kg)" dataDxfId="181"/>
    <tableColumn id="8" xr3:uid="{4938B9A5-A639-4C43-A74D-73C7D53B6D60}" name=" OLD PRICE" dataDxfId="180"/>
    <tableColumn id="28" xr3:uid="{A9B5E244-16ED-4792-A46E-95641CA8CA23}" name="NEW PRICE" dataDxfId="179"/>
    <tableColumn id="24" xr3:uid="{DC4A568D-1042-48D6-8675-D90A8759103F}" name="DISCOUNT per piece [%]" dataDxfId="178"/>
    <tableColumn id="25" xr3:uid="{D4482945-1334-4CD3-B82D-B6E2D8FF8450}" name="DISCOUNT per piece [EUR]" dataDxfId="177">
      <calculatedColumnFormula>Tabela134[[#This Row],[ OLD PRICE]]*Tabela134[[#This Row],[DISCOUNT per piece '[%']]]</calculatedColumnFormula>
    </tableColumn>
    <tableColumn id="7" xr3:uid="{39C7003C-8F13-443E-9DA0-5D21F6CE371E}" name="PROMOTIONAL PRICE" dataDxfId="176">
      <calculatedColumnFormula>Tabela134[[#This Row],[ OLD PRICE]]*(1-Tabela134[[#This Row],[DISCOUNT per piece '[%']]])</calculatedColumnFormula>
    </tableColumn>
    <tableColumn id="22" xr3:uid="{A50AAD22-98EC-40C1-8CF8-087CF9A954D3}" name="TOTAL PROMOTIONAL PRICE" dataDxfId="175">
      <calculatedColumnFormula>Tabela134[[#This Row],[PCS]]*Tabela134[[#This Row],[PROMOTIONAL PRICE]]</calculatedColumnFormula>
    </tableColumn>
    <tableColumn id="29" xr3:uid="{C71096C9-D834-4910-AD19-EC8C44534F5E}" name="CAD PRICE" dataDxfId="174"/>
    <tableColumn id="18" xr3:uid="{B5C661A7-CCCD-4DC9-972A-4D87E01525EB}" name="TOTAL PRICE" dataDxfId="173">
      <calculatedColumnFormula>G8*SUM(R8:AA8)</calculatedColumnFormula>
    </tableColumn>
    <tableColumn id="19" xr3:uid="{1B189547-BCC9-4C22-8407-3B49358FDD27}" name="PCS" dataDxfId="172">
      <calculatedColumnFormula>SUM(R8:AA8)</calculatedColumnFormula>
    </tableColumn>
    <tableColumn id="20" xr3:uid="{9A78EB86-D7F8-4433-A88B-1426AC245DA0}" name="SUM Weight  (kg)" dataDxfId="171">
      <calculatedColumnFormula>O8*F8</calculatedColumnFormula>
    </tableColumn>
    <tableColumn id="26" xr3:uid="{CD15ADC0-9FB0-482C-B420-2EDF93223FB4}" name="Colour of GLOSS for DT" dataDxfId="170"/>
    <tableColumn id="9" xr3:uid="{9487456E-92D3-47EC-B98F-4163168A7448}" name="RAL 1023" dataDxfId="169"/>
    <tableColumn id="10" xr3:uid="{68ACDBC8-B242-428E-9E85-AAD7CF936773}" name="RAL 2004" dataDxfId="168"/>
    <tableColumn id="11" xr3:uid="{8AA678CC-0F70-48A8-AFB0-592D80520AE2}" name="RAL 3020" dataDxfId="167"/>
    <tableColumn id="12" xr3:uid="{15F18781-78C2-48C2-A1CA-4802D240410B}" name="RAL 4008" dataDxfId="166"/>
    <tableColumn id="13" xr3:uid="{C98BCD07-2040-4163-8D19-1CE9429A3D58}" name="RAL 5015" dataDxfId="165"/>
    <tableColumn id="14" xr3:uid="{48FBAA74-164A-46D4-93A6-64782D5E4873}" name="RAL 6018" dataDxfId="164"/>
    <tableColumn id="15" xr3:uid="{74C92204-3768-4728-94C9-96E68E67818A}" name="RAL 9010" dataDxfId="163"/>
    <tableColumn id="23" xr3:uid="{5C466421-AE57-40EC-9B81-9CCD69F7B73F}" name="RAL 7046" dataDxfId="162"/>
    <tableColumn id="16" xr3:uid="{49F26126-DDAD-4F65-ABD7-23885CC99CBB}" name="RAL 7024" dataDxfId="161"/>
    <tableColumn id="17" xr3:uid="{0F8EB69D-4FD6-4E98-B614-F6D60E930559}" name="RAL 9005" dataDxfId="160"/>
    <tableColumn id="21" xr3:uid="{8D50380A-7396-455B-B9FF-24D99B9E3CE1}" name="Clear Wood" dataDxfId="159"/>
    <tableColumn id="3" xr3:uid="{6E62CD66-5AFB-4EEE-9EA5-55CB0F95A975}" name="CHOOSE COLOR" dataDxfId="158"/>
    <tableColumn id="27" xr3:uid="{397F2DBD-1EF4-43D2-BD70-40FD4846C4D6}" name="Custom made colour (7% add price)" dataDxfId="157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0911FF-E508-4E44-9B75-C497C97FFC1D}" name="Tabela1345" displayName="Tabela1345" ref="B7:AC196" totalsRowShown="0" headerRowDxfId="156" dataDxfId="155" tableBorderDxfId="154">
  <autoFilter ref="B7:AC196" xr:uid="{EF5E175A-7E95-4FBC-896C-B220F4E279D6}"/>
  <tableColumns count="28">
    <tableColumn id="1" xr3:uid="{B5BB3269-2189-4E68-A952-F6FBB7553300}" name=" PRODUCTION CODE        " dataDxfId="153"/>
    <tableColumn id="2" xr3:uid="{D1A3DE36-D2C9-4D03-970F-C9119E78DCB2}" name="NAME" dataDxfId="152"/>
    <tableColumn id="4" xr3:uid="{97A58282-0DC3-43C9-8D7F-14B28371897F}" name="CODE" dataDxfId="151"/>
    <tableColumn id="5" xr3:uid="{C099F6AB-2C36-4FF3-9197-B8ACE876FB69}" name="Size (cm)" dataDxfId="150"/>
    <tableColumn id="6" xr3:uid="{BD46F78B-5FA0-49BC-B741-895C91E1DE2B}" name="Weight (kg)" dataDxfId="149"/>
    <tableColumn id="8" xr3:uid="{6F05854B-B056-4E94-9906-9B5E97594758}" name="PRICE" dataDxfId="148"/>
    <tableColumn id="26" xr3:uid="{B3A672D4-7BFB-4F74-B002-0CE8634BA26F}" name="NEW PRICE" dataDxfId="147"/>
    <tableColumn id="7" xr3:uid="{C7B25D14-8E20-4D8F-BF24-8DB27CF15165}" name="DISCOUNT per piece [%]" dataDxfId="146"/>
    <tableColumn id="21" xr3:uid="{EEDC4C47-711F-4601-B422-CEEBB9D71DF8}" name="DISCOUNT per piece [EUR]" dataDxfId="145">
      <calculatedColumnFormula>Tabela1345[[#This Row],[PRICE]]*Tabela1345[[#This Row],[DISCOUNT per piece '[%']]]</calculatedColumnFormula>
    </tableColumn>
    <tableColumn id="22" xr3:uid="{E47E9D52-8FC7-491B-B8C5-F460FF375AC2}" name="PROMOTIONAL PRICE" dataDxfId="144">
      <calculatedColumnFormula>Tabela1345[[#This Row],[PRICE]]*(1-Tabela1345[[#This Row],[DISCOUNT per piece '[%']]])</calculatedColumnFormula>
    </tableColumn>
    <tableColumn id="25" xr3:uid="{3183979B-9E80-4AAD-A6A2-4419CD1F53AB}" name="TOTAL PROMOTIONAL PRICE" dataDxfId="143">
      <calculatedColumnFormula>Tabela1345[[#This Row],[PCS]]*Tabela1345[[#This Row],[PROMOTIONAL PRICE]]</calculatedColumnFormula>
    </tableColumn>
    <tableColumn id="27" xr3:uid="{55255C0F-3801-4CEF-830C-4FB09DC08568}" name="CAD PRICE" dataDxfId="142"/>
    <tableColumn id="18" xr3:uid="{A303691D-96D7-4F6D-84D6-F237468AC37E}" name="TOTAL PRICE" dataDxfId="141">
      <calculatedColumnFormula>G8*SUM(R8:AC8)</calculatedColumnFormula>
    </tableColumn>
    <tableColumn id="19" xr3:uid="{35A00292-3731-4667-816A-F4F9F3E84EEC}" name="PCS" dataDxfId="140">
      <calculatedColumnFormula>SUM(R8:AC8)</calculatedColumnFormula>
    </tableColumn>
    <tableColumn id="20" xr3:uid="{57F95E30-E33D-4A29-BB17-E0B90F7D644A}" name="SUM Weight  (kg)" dataDxfId="139">
      <calculatedColumnFormula>O8*F8</calculatedColumnFormula>
    </tableColumn>
    <tableColumn id="24" xr3:uid="{CA696402-29D9-4694-8A29-611B9AD3DD2F}" name="Colour of GLOSS for DT" dataDxfId="138"/>
    <tableColumn id="9" xr3:uid="{FB72267E-6508-489A-89B8-84C9BC5E3CF2}" name="RAL 1023" dataDxfId="137"/>
    <tableColumn id="10" xr3:uid="{E2EFB6B3-2A9C-4AA3-9E94-0CFBE3D0058B}" name="RAL 2004" dataDxfId="136"/>
    <tableColumn id="11" xr3:uid="{BCA39A03-3FA3-48E2-AA7E-5ACA5444A814}" name="RAL 3020" dataDxfId="135"/>
    <tableColumn id="12" xr3:uid="{B4BBFC82-2182-4894-8318-7A62EEEEBD12}" name="RAL 4006" dataDxfId="134"/>
    <tableColumn id="13" xr3:uid="{D649E0DA-05B5-4360-ACB2-11D8F52416B3}" name="RAL 5015" dataDxfId="133"/>
    <tableColumn id="14" xr3:uid="{EB74DFD2-01BA-4DCD-BDA2-A59ECBCC2390}" name="RAL 6018" dataDxfId="132"/>
    <tableColumn id="15" xr3:uid="{5446D10F-A4BF-45AB-B108-EBF5FA065360}" name="RAL 9010" dataDxfId="131"/>
    <tableColumn id="23" xr3:uid="{963AEE9B-1216-4E0E-811F-0F7DBE8E154E}" name="RAL 7001" dataDxfId="130"/>
    <tableColumn id="16" xr3:uid="{6B46F303-965C-45FA-B4A5-AA94109D8DB9}" name="RAL 7024" dataDxfId="129"/>
    <tableColumn id="3" xr3:uid="{20CA1663-3918-4F42-8B09-926087B2B705}" name="RAL 9005" dataDxfId="128"/>
    <tableColumn id="28" xr3:uid="{35D040CD-E17E-450C-A166-4F9C31719FCA}" name="CHOOSE COLOR" dataDxfId="127"/>
    <tableColumn id="17" xr3:uid="{4717548D-D2E2-4598-B873-95068AD05A6C}" name="Custom made colour (7% add price)" dataDxfId="126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E985A10-8FA1-43E5-9B4E-B20C4F3E2CC1}" name="Tabela178" displayName="Tabela178" ref="B7:AD61" totalsRowShown="0" headerRowDxfId="125" dataDxfId="124" tableBorderDxfId="123">
  <autoFilter ref="B7:AD61" xr:uid="{EF5E175A-7E95-4FBC-896C-B220F4E279D6}"/>
  <tableColumns count="29">
    <tableColumn id="1" xr3:uid="{E67A43E7-5B71-4C82-9F48-CC38717A62A2}" name=" PRODUCTION CODE        " dataDxfId="122"/>
    <tableColumn id="2" xr3:uid="{0EAFCCD0-FFBB-4CA3-8722-D9971EC0EA0A}" name="NAME" dataDxfId="121"/>
    <tableColumn id="4" xr3:uid="{67CE1E82-18CD-4FBC-B76B-E4134FF6E298}" name="CODE" dataDxfId="120"/>
    <tableColumn id="5" xr3:uid="{55FF3F8C-009B-452C-9D9C-64336A910F6A}" name="Size (cm)" dataDxfId="119"/>
    <tableColumn id="6" xr3:uid="{99456200-19A3-43F8-AA80-27A2DAD8CB67}" name="Weight (kg)" dataDxfId="118"/>
    <tableColumn id="28" xr3:uid="{5F2FFF59-7BA9-44E8-BE6D-CBD4DACDE114}" name="PCS Total" dataDxfId="117">
      <calculatedColumnFormula array="1">SUM(Tabela178[[#This Row],[RAL 1023]:[Custom made colour (7% add price)]]*Tabela178[[#This Row],[PCS BY PACKS]])</calculatedColumnFormula>
    </tableColumn>
    <tableColumn id="27" xr3:uid="{5A560FE8-14AD-4C0E-83DA-A80406983F2A}" name="PCS BY PACKS" dataDxfId="116"/>
    <tableColumn id="8" xr3:uid="{8D9BD688-1CE4-444F-8F31-5C665F3A90AF}" name="PRICE" dataDxfId="115"/>
    <tableColumn id="26" xr3:uid="{C725FE38-EC0B-4CA3-87FA-56FCD1710595}" name="NEW PRICE"/>
    <tableColumn id="21" xr3:uid="{E8F5275F-78BC-40F3-A55E-A65A4A9A62B8}" name="DISCOUNT per piece [%]" dataDxfId="114"/>
    <tableColumn id="22" xr3:uid="{A33C4FD6-26D4-4835-8F8D-5786D15D769D}" name="DISCOUNT per piece [EUR]" dataDxfId="113">
      <calculatedColumnFormula>Tabela178[[#This Row],[PRICE]]*Tabela178[[#This Row],[DISCOUNT per piece '[%']]]</calculatedColumnFormula>
    </tableColumn>
    <tableColumn id="24" xr3:uid="{452E1381-521E-4D42-9472-95EC50122525}" name="PROMOTIONAL PRICE" dataDxfId="112">
      <calculatedColumnFormula>Tabela178[[#This Row],[PRICE]]*(1-Tabela178[[#This Row],[DISCOUNT per piece '[%']]])</calculatedColumnFormula>
    </tableColumn>
    <tableColumn id="25" xr3:uid="{85456A43-320D-4739-99F8-DCE0892564C4}" name="TOTAL PROMOTIONAL PRICE" dataDxfId="111">
      <calculatedColumnFormula>Tabela178[[#This Row],[PCS]]*Tabela178[[#This Row],[PROMOTIONAL PRICE]]</calculatedColumnFormula>
    </tableColumn>
    <tableColumn id="29" xr3:uid="{71CC0085-306E-4A97-A2A4-7B5B1D85C1B1}" name="CAD PRICE" dataDxfId="110"/>
    <tableColumn id="18" xr3:uid="{EEF9BCD0-5A1D-4260-AC28-B3F7CC9B5136}" name="TOTAL PRICE" dataDxfId="109">
      <calculatedColumnFormula>I8*SUM(S8:AB8)</calculatedColumnFormula>
    </tableColumn>
    <tableColumn id="19" xr3:uid="{40B4F199-0EEA-444B-8C5A-08C0EDBB074C}" name="PCS" dataDxfId="108">
      <calculatedColumnFormula>SUM(S8:AB8)</calculatedColumnFormula>
    </tableColumn>
    <tableColumn id="20" xr3:uid="{6D4DE693-2894-4A63-B5C1-EE5E700CB876}" name="SUM Weight  (kg)" dataDxfId="107">
      <calculatedColumnFormula>Q8*F8</calculatedColumnFormula>
    </tableColumn>
    <tableColumn id="9" xr3:uid="{805259FE-AD38-4888-834B-A313675200CF}" name="RAL 1023" dataDxfId="106"/>
    <tableColumn id="10" xr3:uid="{55830547-B3CB-4140-AAB5-1CF98509CBAE}" name="RAL 2004" dataDxfId="105"/>
    <tableColumn id="11" xr3:uid="{533B9247-027A-43A0-AB47-E35702317D53}" name="RAL 3020" dataDxfId="104"/>
    <tableColumn id="12" xr3:uid="{2433E2AD-3BAE-4C7E-BEA0-36CD47F98451}" name="RAL 4006" dataDxfId="103"/>
    <tableColumn id="13" xr3:uid="{5605E9C0-4C89-49E8-910C-AAA5B6A24A79}" name="RAL 5015" dataDxfId="102"/>
    <tableColumn id="14" xr3:uid="{1DD4A87D-D2FB-4C02-899A-CB7A3314EE1C}" name="RAL 6018" dataDxfId="101"/>
    <tableColumn id="15" xr3:uid="{96DFA6E3-A597-466A-8F25-7456BD93388C}" name="RAL 9010" dataDxfId="100"/>
    <tableColumn id="23" xr3:uid="{8907CE6E-7269-40D9-8D89-A1D850EFDD86}" name="RAL 7001" dataDxfId="99"/>
    <tableColumn id="16" xr3:uid="{B971FFE4-422D-4BBD-816F-07390B95714E}" name="RAL 7024" dataDxfId="98"/>
    <tableColumn id="17" xr3:uid="{27D37E77-EB72-4B91-8296-FC41B2A0C28C}" name="RAL 9005" dataDxfId="97"/>
    <tableColumn id="7" xr3:uid="{BF8F68A0-6953-4BF0-85D0-0B12939B7A91}" name="NCS 1050-B70G" dataDxfId="96"/>
    <tableColumn id="3" xr3:uid="{1AEBABFD-4E16-4479-83C6-DCB0A89C401D}" name="Custom made colour (7% add price)" dataDxfId="95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D7811E1-D429-4970-9141-9494F8EDB4D6}" name="Tabela17812" displayName="Tabela17812" ref="B7:AE115" totalsRowShown="0" headerRowDxfId="94" dataDxfId="93" tableBorderDxfId="92">
  <autoFilter ref="B7:AE115" xr:uid="{EF5E175A-7E95-4FBC-896C-B220F4E279D6}"/>
  <tableColumns count="30">
    <tableColumn id="2" xr3:uid="{7023DA00-5A22-49EB-B2CE-764937D1EE67}" name="NAME" dataDxfId="91"/>
    <tableColumn id="4" xr3:uid="{BD76AAB8-BAE0-4B75-818D-AA01275D1E86}" name="CODE" dataDxfId="90"/>
    <tableColumn id="26" xr3:uid="{877F9EF3-B878-401C-9B35-846D8BAAB2BE}" name="Number of pcs" dataDxfId="89"/>
    <tableColumn id="5" xr3:uid="{DAA2CC75-0A84-4643-BA42-61144A7CF466}" name="Size" dataDxfId="88"/>
    <tableColumn id="6" xr3:uid="{891573F0-C59F-4C3C-BB2E-23C615A81438}" name="Weight (kg)" dataDxfId="87"/>
    <tableColumn id="8" xr3:uid="{8033998B-3529-4C4D-BF1B-1B2C839B88AB}" name="OLD PRICE" dataDxfId="86"/>
    <tableColumn id="29" xr3:uid="{B1449EA0-09A2-44CE-9BCA-76D14A609492}" name="NEW PRICE" dataDxfId="85"/>
    <tableColumn id="21" xr3:uid="{A2EE9F3D-1B7D-4F7B-9393-F9306B5975C5}" name="DISCOUNT per piece [%]" dataDxfId="84"/>
    <tableColumn id="22" xr3:uid="{E41DF69F-67AE-4D77-B532-7DADF5602F93}" name="DISCOUNT per piece [EUR]" dataDxfId="83">
      <calculatedColumnFormula>Tabela17812[[#This Row],[OLD PRICE]]*Tabela17812[[#This Row],[DISCOUNT per piece '[%']]]</calculatedColumnFormula>
    </tableColumn>
    <tableColumn id="24" xr3:uid="{A604D8FF-227C-48D8-8492-838C32953D81}" name="PROMOTIONAL PRICE" dataDxfId="82">
      <calculatedColumnFormula>Tabela17812[[#This Row],[OLD PRICE]]*(1-Tabela17812[[#This Row],[DISCOUNT per piece '[%']]])</calculatedColumnFormula>
    </tableColumn>
    <tableColumn id="25" xr3:uid="{A9D6FD7B-9373-4F7F-BE27-20253672CCC3}" name="TOTAL PROMOTIONAL PRICE" dataDxfId="81">
      <calculatedColumnFormula>Tabela17812[[#This Row],[SETS]]*Tabela17812[[#This Row],[PROMOTIONAL PRICE]]</calculatedColumnFormula>
    </tableColumn>
    <tableColumn id="30" xr3:uid="{457E7BC4-47ED-4EA8-82C1-4A0DDC56B6AA}" name="CAD PRICE" dataDxfId="80"/>
    <tableColumn id="18" xr3:uid="{82421D9C-40E6-4191-8F89-AC6961FA8999}" name="TOTAL PRICE" dataDxfId="79">
      <calculatedColumnFormula>G8*SUM(R8:AA8)</calculatedColumnFormula>
    </tableColumn>
    <tableColumn id="19" xr3:uid="{A6641604-F1FC-4145-8106-65511AB40134}" name="SETS" dataDxfId="78">
      <calculatedColumnFormula>SUM(R8:AA8)</calculatedColumnFormula>
    </tableColumn>
    <tableColumn id="3" xr3:uid="{564637E3-7522-486E-B2FE-AC7752E2B2E3}" name="TOTAL PCS" dataDxfId="77">
      <calculatedColumnFormula>Tabela17812[[#This Row],[SETS]]*Tabela17812[[#This Row],[Number of pcs]]</calculatedColumnFormula>
    </tableColumn>
    <tableColumn id="20" xr3:uid="{B988CBE5-C63C-4746-A037-D1ABBBE12642}" name="SUM Weight  (kg)" dataDxfId="76">
      <calculatedColumnFormula>O8*F8</calculatedColumnFormula>
    </tableColumn>
    <tableColumn id="9" xr3:uid="{8130A423-433F-43EB-9B30-F37B07B52408}" name="RAL 1023" dataDxfId="75"/>
    <tableColumn id="10" xr3:uid="{B94370AC-01F3-4542-9916-97C52D8C1D7F}" name="RAL 2004" dataDxfId="74"/>
    <tableColumn id="11" xr3:uid="{AB66BD95-B938-4E04-8D55-BC3EDF5D06A2}" name="RAL 3020" dataDxfId="73"/>
    <tableColumn id="12" xr3:uid="{4352EA41-047A-40BD-B1EF-9E8B38E3DC9D}" name="RAL 4006" dataDxfId="72"/>
    <tableColumn id="13" xr3:uid="{1189E6C8-89FA-44E4-B89D-E85BA7FA5354}" name="RAL 5015" dataDxfId="71"/>
    <tableColumn id="14" xr3:uid="{A4652824-6C2E-446A-B8F1-66F953B78163}" name="RAL 6018" dataDxfId="70"/>
    <tableColumn id="15" xr3:uid="{B109EC8E-BD8E-4221-A271-152C6440898A}" name="RAL 9010" dataDxfId="69"/>
    <tableColumn id="23" xr3:uid="{4BFDA307-DAE7-4DC1-91CA-6A04D650DFAC}" name="RAL 7001" dataDxfId="68"/>
    <tableColumn id="16" xr3:uid="{19A64ADE-D6D7-4ECF-BD2A-08311D480066}" name="RAL 7024" dataDxfId="67"/>
    <tableColumn id="17" xr3:uid="{16919CF9-B581-4CF8-A709-C6E36E205651}" name="RAL 9005" dataDxfId="66"/>
    <tableColumn id="1" xr3:uid="{82EFC69E-AC88-433F-87A5-C38CCC471E6E}" name="NEON PINK " dataDxfId="65"/>
    <tableColumn id="7" xr3:uid="{3EF8BB43-EB2F-4CB4-92B2-5D343863E187}" name="NEON YELLOW" dataDxfId="64"/>
    <tableColumn id="27" xr3:uid="{3EB9211C-32DB-4913-B429-57E890569379}" name="NEON GREEN" dataDxfId="63"/>
    <tableColumn id="28" xr3:uid="{E3621C2C-9D17-4556-A13B-387F42655A66}" name="NEON ORANGE" dataDxfId="62"/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9DAB883-DAAF-4158-942F-8E10E62EDF0D}" name="Tabela17" displayName="Tabela17" ref="B7:AB75" totalsRowShown="0" headerRowDxfId="61" dataDxfId="60" tableBorderDxfId="59">
  <autoFilter ref="B7:AB75" xr:uid="{EF5E175A-7E95-4FBC-896C-B220F4E279D6}"/>
  <tableColumns count="27">
    <tableColumn id="1" xr3:uid="{40B5E1A2-435F-4D76-B937-3640BD75FDBF}" name=" PRODUCTION CODE        " dataDxfId="58"/>
    <tableColumn id="2" xr3:uid="{D63A0912-C170-436D-9BD0-8E46765810A7}" name="NAME" dataDxfId="57"/>
    <tableColumn id="4" xr3:uid="{E613AEDE-E65C-4BE1-BFD3-57990080A83D}" name="CODE" dataDxfId="56"/>
    <tableColumn id="5" xr3:uid="{E54C0BD7-E2E9-44B1-B0FB-F2D9C3C897C6}" name="Size (cm)" dataDxfId="55"/>
    <tableColumn id="6" xr3:uid="{6842A8F2-2F16-4AF1-ACC3-B1343890BACE}" name="Weight (kg)" dataDxfId="54"/>
    <tableColumn id="8" xr3:uid="{D4126FAC-D767-4FD5-A86F-37F016382661}" name="PRICE" dataDxfId="53"/>
    <tableColumn id="26" xr3:uid="{CB0BE021-E151-4206-8BF8-E076B016DCBA}" name="NEW PRICE" dataDxfId="52"/>
    <tableColumn id="21" xr3:uid="{1ADE2105-6327-44F5-AC1E-26B348ECFF9A}" name="DISCOUNT per piece [%]" dataDxfId="51"/>
    <tableColumn id="22" xr3:uid="{69AB1A47-15B6-42E1-8B0B-39C6982C44EF}" name="DISCOUNT per piece [EUR]" dataDxfId="50">
      <calculatedColumnFormula>Tabela17[[#This Row],[PRICE]]*Tabela17[[#This Row],[DISCOUNT per piece '[%']]]</calculatedColumnFormula>
    </tableColumn>
    <tableColumn id="24" xr3:uid="{5FC74731-5457-49A2-8F89-E693C0A0B97E}" name="PROMOTIONAL PRICE" dataDxfId="49">
      <calculatedColumnFormula>Tabela17[[#This Row],[PRICE]]*(1-Tabela17[[#This Row],[DISCOUNT per piece '[%']]])</calculatedColumnFormula>
    </tableColumn>
    <tableColumn id="25" xr3:uid="{D221CFD8-B456-487B-8E4C-FAF0ACE544C8}" name="TOTAL PROMOTIONAL PRICE" dataDxfId="48">
      <calculatedColumnFormula>Tabela17[[#This Row],[PCS]]*Tabela17[[#This Row],[PROMOTIONAL PRICE]]</calculatedColumnFormula>
    </tableColumn>
    <tableColumn id="27" xr3:uid="{6FB24E2E-8B6B-4F57-B845-AAFE78B3E73B}" name="CAD PRICE" dataDxfId="47"/>
    <tableColumn id="18" xr3:uid="{47B8BAF5-7CB4-4AAE-9B3F-5F722AF3AFDE}" name="TOTAL PRICE" dataDxfId="46">
      <calculatedColumnFormula>G8*SUM(Q8:Z8)</calculatedColumnFormula>
    </tableColumn>
    <tableColumn id="19" xr3:uid="{F44AFCE6-AC09-4311-A2F4-275E3A92B79A}" name="PCS" dataDxfId="45">
      <calculatedColumnFormula>SUM(Q8:Z8)</calculatedColumnFormula>
    </tableColumn>
    <tableColumn id="20" xr3:uid="{D9F563B9-DB35-4566-9331-2045C1975E1D}" name="SUM Weight  (kg)" dataDxfId="44">
      <calculatedColumnFormula>O8*F8</calculatedColumnFormula>
    </tableColumn>
    <tableColumn id="9" xr3:uid="{210DF0D3-B78D-4E0E-864A-307869ADE268}" name="RAL 1023" dataDxfId="43"/>
    <tableColumn id="10" xr3:uid="{74DA0B21-69AD-48F7-AA12-D7465F91BD07}" name="RAL 2004" dataDxfId="42"/>
    <tableColumn id="11" xr3:uid="{FC069F3F-9A24-487E-BE43-9A34015E8528}" name="RAL 3020" dataDxfId="41"/>
    <tableColumn id="12" xr3:uid="{4FA95406-C226-43C6-9376-7ECC8865642B}" name="RAL 4006" dataDxfId="40"/>
    <tableColumn id="13" xr3:uid="{D9C94530-E3DC-4893-AFBE-FAAE3F04E614}" name="RAL 5015" dataDxfId="39"/>
    <tableColumn id="14" xr3:uid="{E072E86F-D0A2-4A57-BB83-DA16125A62B4}" name="RAL 6018" dataDxfId="38"/>
    <tableColumn id="15" xr3:uid="{4CAF26DD-DB27-4043-B094-7B150CC0713E}" name="RAL 9010" dataDxfId="37"/>
    <tableColumn id="23" xr3:uid="{7ADB3C2B-FC52-4C2D-BDA0-92B8550341F1}" name="RAL 7001" dataDxfId="36"/>
    <tableColumn id="16" xr3:uid="{AE96F596-9C3C-49DB-A281-09EF47E2705A}" name="RAL 7024" dataDxfId="35"/>
    <tableColumn id="17" xr3:uid="{DFC49918-E298-4F66-8007-B444046D5FD6}" name="RAL 9005" dataDxfId="34"/>
    <tableColumn id="7" xr3:uid="{42915A24-A042-4894-AC27-30FD176D2864}" name="NCS 1050-B70G" dataDxfId="33"/>
    <tableColumn id="3" xr3:uid="{EA100DB2-F5EA-47B5-A7CE-E9A2A20291F2}" name="Custom made colour (7% add price)" dataDxfId="32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92C47BA-9E26-4BC0-9DD3-38618F8401D0}" name="Tabela1369" displayName="Tabela1369" ref="B7:AC26" totalsRowShown="0" headerRowDxfId="31" dataDxfId="30" tableBorderDxfId="29">
  <autoFilter ref="B7:AC26" xr:uid="{EF5E175A-7E95-4FBC-896C-B220F4E279D6}"/>
  <tableColumns count="28">
    <tableColumn id="1" xr3:uid="{EB22E92E-DF5C-4E8B-9E2C-31FBF57B9CF7}" name=" PRODUCTION CODE        " dataDxfId="28"/>
    <tableColumn id="2" xr3:uid="{434595C4-2355-4B9A-9473-FA633205570E}" name="NAME" dataDxfId="27"/>
    <tableColumn id="3" xr3:uid="{3A1C365A-BED2-4B00-8131-FB9C2BB8C962}" name="CODE" dataDxfId="26"/>
    <tableColumn id="4" xr3:uid="{D872B152-21D1-4563-8A8B-AD7A34A254B5}" name="Number of pcs" dataDxfId="25"/>
    <tableColumn id="5" xr3:uid="{666F7E89-888C-4089-A9C3-059EBE336CAE}" name="Size (cm)" dataDxfId="24"/>
    <tableColumn id="6" xr3:uid="{2A691345-7A5A-456A-91AF-F31C2E0C2114}" name="Weight (kg)" dataDxfId="23"/>
    <tableColumn id="8" xr3:uid="{DFA4FEA7-1D1B-454E-939B-AE75A098181D}" name="OLD PRICE" dataDxfId="22"/>
    <tableColumn id="28" xr3:uid="{01DDD4B0-551F-4B54-BF72-C89EBCD0D452}" name="NEW PRICE"/>
    <tableColumn id="21" xr3:uid="{375AAA7E-FADB-4620-9C47-E68A6901129C}" name="DISCOUNT per piece [%]" dataDxfId="21"/>
    <tableColumn id="22" xr3:uid="{338274B0-B5C0-4BA2-AE17-8779247EC47D}" name="DISCOUNT per piece [EUR]" dataDxfId="20">
      <calculatedColumnFormula>Tabela1369[[#This Row],[OLD PRICE]]*Tabela1369[[#This Row],[DISCOUNT per piece '[%']]]</calculatedColumnFormula>
    </tableColumn>
    <tableColumn id="24" xr3:uid="{A9AFCB2F-A29F-4D9F-B48F-BD91456D8E6D}" name="PROMOTIONAL PRICE" dataDxfId="19">
      <calculatedColumnFormula>Tabela1369[[#This Row],[OLD PRICE]]*(1-Tabela1369[[#This Row],[DISCOUNT per piece '[%']]])</calculatedColumnFormula>
    </tableColumn>
    <tableColumn id="25" xr3:uid="{13FE981F-D17C-48EF-B10A-246B8DB144A8}" name="TOTAL PROMOTIONAL PRICE" dataDxfId="18">
      <calculatedColumnFormula>Tabela1369[[#This Row],[SETS]]*Tabela1369[[#This Row],[PROMOTIONAL PRICE]]</calculatedColumnFormula>
    </tableColumn>
    <tableColumn id="27" xr3:uid="{98545E59-B2B6-4CC6-AAFF-F32EFD6EF374}" name="CAD PRICE" dataDxfId="17"/>
    <tableColumn id="18" xr3:uid="{2255654E-7488-4C6C-9FB0-D1F6C6BDCE56}" name="TOTAL PRICE" dataDxfId="16">
      <calculatedColumnFormula>H8*P8</calculatedColumnFormula>
    </tableColumn>
    <tableColumn id="19" xr3:uid="{CBFA7823-C232-424E-BC36-C8089706B0BA}" name="SETS" dataDxfId="15">
      <calculatedColumnFormula>SUM(S8:AB8)</calculatedColumnFormula>
    </tableColumn>
    <tableColumn id="26" xr3:uid="{FB8EE46C-7A81-4CDA-A999-F2CCDDE278E0}" name="TOTAL PCS" dataDxfId="14">
      <calculatedColumnFormula>P8*E8</calculatedColumnFormula>
    </tableColumn>
    <tableColumn id="20" xr3:uid="{EAC973DB-6AAA-4563-8CF4-6DBE8DBF9E99}" name="SUM Weight  (kg)" dataDxfId="13">
      <calculatedColumnFormula>P8*G8</calculatedColumnFormula>
    </tableColumn>
    <tableColumn id="9" xr3:uid="{1CB6DFCF-9948-4028-93A4-E5E986484015}" name="RAL 1023" dataDxfId="12"/>
    <tableColumn id="10" xr3:uid="{8F098582-7EA3-42ED-8A1A-5A21CCF80EFA}" name="RAL 2004" dataDxfId="11"/>
    <tableColumn id="11" xr3:uid="{8DCCB0D9-C1B6-4094-A861-20F229640285}" name="RAL 3020" dataDxfId="10"/>
    <tableColumn id="12" xr3:uid="{F930AFE7-ED60-46BC-BEF9-3ED9F47F17D1}" name="RAL 4006" dataDxfId="9"/>
    <tableColumn id="13" xr3:uid="{CE9A7E30-A9AA-4400-9D10-40899BC6E162}" name="RAL 5015" dataDxfId="8"/>
    <tableColumn id="14" xr3:uid="{3C50D65C-E6B9-405D-827C-4D31640DB265}" name="RAL 6018" dataDxfId="7"/>
    <tableColumn id="15" xr3:uid="{51D18B5D-C0F2-4090-83FE-7D536214BE86}" name="RAL 9010" dataDxfId="6"/>
    <tableColumn id="23" xr3:uid="{D4753571-6072-4611-84CE-850E9C92DD41}" name="RAL 7001" dataDxfId="5"/>
    <tableColumn id="16" xr3:uid="{57B76325-C07B-4169-B0B7-82448C053B13}" name="RAL 7024" dataDxfId="4"/>
    <tableColumn id="17" xr3:uid="{E7D2A5A9-C3C3-4757-8160-F698D49A14C2}" name="RAL 9005" dataDxfId="3"/>
    <tableColumn id="7" xr3:uid="{E6E8F1BA-9F68-46E7-88D0-C8B7A78C01BD}" name="Custom made colour (7% add price)" dataDxfId="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climbinggymheaven.com/product/happy-vehicles-kl-01-03/" TargetMode="External"/><Relationship Id="rId7" Type="http://schemas.openxmlformats.org/officeDocument/2006/relationships/table" Target="../tables/table10.xml"/><Relationship Id="rId2" Type="http://schemas.openxmlformats.org/officeDocument/2006/relationships/hyperlink" Target="https://climbinggymheaven.com/product/ocean-friends/" TargetMode="External"/><Relationship Id="rId1" Type="http://schemas.openxmlformats.org/officeDocument/2006/relationships/hyperlink" Target="https://climbinggymheaven.com/product/scarry-ghost-kl-01-01/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s://climbinggymheaven.com/product/hungry-jack-kl-01-0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trios-octus-35_6/" TargetMode="External"/><Relationship Id="rId21" Type="http://schemas.openxmlformats.org/officeDocument/2006/relationships/hyperlink" Target="https://climbinggymheaven.com/product/trios-octus-35_1/" TargetMode="External"/><Relationship Id="rId42" Type="http://schemas.openxmlformats.org/officeDocument/2006/relationships/hyperlink" Target="https://climbinggymheaven.com/product/illusion-butterfly-5l/" TargetMode="External"/><Relationship Id="rId47" Type="http://schemas.openxmlformats.org/officeDocument/2006/relationships/hyperlink" Target="https://climbinggymheaven.com/product/illusion-butterfly-7r/" TargetMode="External"/><Relationship Id="rId63" Type="http://schemas.openxmlformats.org/officeDocument/2006/relationships/hyperlink" Target="https://climbinggymheaven.com/product/manta-closed-r-1000-ilw-05-10/" TargetMode="External"/><Relationship Id="rId68" Type="http://schemas.openxmlformats.org/officeDocument/2006/relationships/hyperlink" Target="https://climbinggymheaven.com/product/manta-open-l-1150-ilw-05-15/" TargetMode="External"/><Relationship Id="rId84" Type="http://schemas.openxmlformats.org/officeDocument/2006/relationships/hyperlink" Target="https://climbinggymheaven.com/product/ilw-06-07-fusion-7/" TargetMode="External"/><Relationship Id="rId89" Type="http://schemas.openxmlformats.org/officeDocument/2006/relationships/hyperlink" Target="https://climbinggymheaven.com/product/ilw-06-17-fusion-17/" TargetMode="External"/><Relationship Id="rId16" Type="http://schemas.openxmlformats.org/officeDocument/2006/relationships/hyperlink" Target="https://climbinggymheaven.com/product/pinch-3-l/" TargetMode="External"/><Relationship Id="rId11" Type="http://schemas.openxmlformats.org/officeDocument/2006/relationships/hyperlink" Target="https://climbinggymheaven.com/product/wing-40-r/" TargetMode="External"/><Relationship Id="rId32" Type="http://schemas.openxmlformats.org/officeDocument/2006/relationships/hyperlink" Target="https://climbinggymheaven.com/product/trios-octus-45_4/" TargetMode="External"/><Relationship Id="rId37" Type="http://schemas.openxmlformats.org/officeDocument/2006/relationships/hyperlink" Target="https://climbinggymheaven.com/product/illusion-butterfly-2r/" TargetMode="External"/><Relationship Id="rId53" Type="http://schemas.openxmlformats.org/officeDocument/2006/relationships/hyperlink" Target="https://climbinggymheaven.com/product/illusion-butterfly-10r/" TargetMode="External"/><Relationship Id="rId58" Type="http://schemas.openxmlformats.org/officeDocument/2006/relationships/hyperlink" Target="https://climbinggymheaven.com/product/manta-closed-l-900-ilw-05-05/" TargetMode="External"/><Relationship Id="rId74" Type="http://schemas.openxmlformats.org/officeDocument/2006/relationships/hyperlink" Target="https://climbinggymheaven.com/product/manta-closed-l-1450-ilw-05-21/" TargetMode="External"/><Relationship Id="rId79" Type="http://schemas.openxmlformats.org/officeDocument/2006/relationships/hyperlink" Target="https://climbinggymheaven.com/product/illusion-butterfly-1r/" TargetMode="External"/><Relationship Id="rId102" Type="http://schemas.openxmlformats.org/officeDocument/2006/relationships/table" Target="../tables/table4.xml"/><Relationship Id="rId5" Type="http://schemas.openxmlformats.org/officeDocument/2006/relationships/hyperlink" Target="https://climbinggymheaven.com/product/wing-70-r/" TargetMode="External"/><Relationship Id="rId90" Type="http://schemas.openxmlformats.org/officeDocument/2006/relationships/hyperlink" Target="https://climbinggymheaven.com/product/ilw-06-04-fusion-4/" TargetMode="External"/><Relationship Id="rId95" Type="http://schemas.openxmlformats.org/officeDocument/2006/relationships/hyperlink" Target="https://climbinggymheaven.com/product/ilw-06-14-fusion-14/" TargetMode="External"/><Relationship Id="rId22" Type="http://schemas.openxmlformats.org/officeDocument/2006/relationships/hyperlink" Target="https://climbinggymheaven.com/product/trios-octus-35_2/" TargetMode="External"/><Relationship Id="rId27" Type="http://schemas.openxmlformats.org/officeDocument/2006/relationships/hyperlink" Target="https://climbinggymheaven.com/product/trios-octus-35_7/" TargetMode="External"/><Relationship Id="rId43" Type="http://schemas.openxmlformats.org/officeDocument/2006/relationships/hyperlink" Target="https://climbinggymheaven.com/product/butterfly-5r/" TargetMode="External"/><Relationship Id="rId48" Type="http://schemas.openxmlformats.org/officeDocument/2006/relationships/hyperlink" Target="https://climbinggymheaven.com/product/illusion-butterfly-8l/" TargetMode="External"/><Relationship Id="rId64" Type="http://schemas.openxmlformats.org/officeDocument/2006/relationships/hyperlink" Target="https://climbinggymheaven.com/product/manta-open-l-1000-ilw-05-11/" TargetMode="External"/><Relationship Id="rId69" Type="http://schemas.openxmlformats.org/officeDocument/2006/relationships/hyperlink" Target="https://climbinggymheaven.com/product/manta-open-r-1150-ilw-05-16/" TargetMode="External"/><Relationship Id="rId80" Type="http://schemas.openxmlformats.org/officeDocument/2006/relationships/hyperlink" Target="https://climbinggymheaven.com/product/illusion-butterfly-2l/" TargetMode="External"/><Relationship Id="rId85" Type="http://schemas.openxmlformats.org/officeDocument/2006/relationships/hyperlink" Target="https://climbinggymheaven.com/product/ilw-06-09-fusion-9/" TargetMode="External"/><Relationship Id="rId12" Type="http://schemas.openxmlformats.org/officeDocument/2006/relationships/hyperlink" Target="https://climbinggymheaven.com/product/wing-40-l/" TargetMode="External"/><Relationship Id="rId17" Type="http://schemas.openxmlformats.org/officeDocument/2006/relationships/hyperlink" Target="https://climbinggymheaven.com/product/pinch-2-r/" TargetMode="External"/><Relationship Id="rId25" Type="http://schemas.openxmlformats.org/officeDocument/2006/relationships/hyperlink" Target="https://climbinggymheaven.com/product/trios-octus-35_5/" TargetMode="External"/><Relationship Id="rId33" Type="http://schemas.openxmlformats.org/officeDocument/2006/relationships/hyperlink" Target="https://climbinggymheaven.com/product/trios-octus-45_5/" TargetMode="External"/><Relationship Id="rId38" Type="http://schemas.openxmlformats.org/officeDocument/2006/relationships/hyperlink" Target="https://climbinggymheaven.com/product/illusion-butterfly-3-l/" TargetMode="External"/><Relationship Id="rId46" Type="http://schemas.openxmlformats.org/officeDocument/2006/relationships/hyperlink" Target="https://climbinggymheaven.com/product/illusion-butterfly-7l/" TargetMode="External"/><Relationship Id="rId59" Type="http://schemas.openxmlformats.org/officeDocument/2006/relationships/hyperlink" Target="https://climbinggymheaven.com/product/manta-closed-r-900-ilw-05-06/" TargetMode="External"/><Relationship Id="rId67" Type="http://schemas.openxmlformats.org/officeDocument/2006/relationships/hyperlink" Target="https://climbinggymheaven.com/product/manta-closed-r-1150-ilw-05-14/" TargetMode="External"/><Relationship Id="rId20" Type="http://schemas.openxmlformats.org/officeDocument/2006/relationships/hyperlink" Target="https://climbinggymheaven.com/product/pinch-1l/" TargetMode="External"/><Relationship Id="rId41" Type="http://schemas.openxmlformats.org/officeDocument/2006/relationships/hyperlink" Target="https://climbinggymheaven.com/product/illusion-butterfly-4r/" TargetMode="External"/><Relationship Id="rId54" Type="http://schemas.openxmlformats.org/officeDocument/2006/relationships/hyperlink" Target="https://climbinggymheaven.com/product/manta-closed-l-750-05-01/" TargetMode="External"/><Relationship Id="rId62" Type="http://schemas.openxmlformats.org/officeDocument/2006/relationships/hyperlink" Target="https://climbinggymheaven.com/product/manta-closed-l-1000-ilw-05-09/" TargetMode="External"/><Relationship Id="rId70" Type="http://schemas.openxmlformats.org/officeDocument/2006/relationships/hyperlink" Target="https://climbinggymheaven.com/product/manta-closed-l-1300-ilw-05-17/" TargetMode="External"/><Relationship Id="rId75" Type="http://schemas.openxmlformats.org/officeDocument/2006/relationships/hyperlink" Target="https://climbinggymheaven.com/product/manta-closed-r-1450-ilw-05-22/" TargetMode="External"/><Relationship Id="rId83" Type="http://schemas.openxmlformats.org/officeDocument/2006/relationships/hyperlink" Target="https://climbinggymheaven.com/product/ilw-06-05-fusion-5/" TargetMode="External"/><Relationship Id="rId88" Type="http://schemas.openxmlformats.org/officeDocument/2006/relationships/hyperlink" Target="https://climbinggymheaven.com/product/ilw-06-15-fusion-15/" TargetMode="External"/><Relationship Id="rId91" Type="http://schemas.openxmlformats.org/officeDocument/2006/relationships/hyperlink" Target="https://climbinggymheaven.com/product/ilw-06-06-fusion-6/" TargetMode="External"/><Relationship Id="rId96" Type="http://schemas.openxmlformats.org/officeDocument/2006/relationships/hyperlink" Target="https://climbinggymheaven.com/product/ilw-06-16-fusion-16/" TargetMode="External"/><Relationship Id="rId1" Type="http://schemas.openxmlformats.org/officeDocument/2006/relationships/hyperlink" Target="https://climbinggymheaven.com/product/wing-90-r/" TargetMode="External"/><Relationship Id="rId6" Type="http://schemas.openxmlformats.org/officeDocument/2006/relationships/hyperlink" Target="https://climbinggymheaven.com/product/wing-70-l/" TargetMode="External"/><Relationship Id="rId15" Type="http://schemas.openxmlformats.org/officeDocument/2006/relationships/hyperlink" Target="https://climbinggymheaven.com/product/pinch-3-r/" TargetMode="External"/><Relationship Id="rId23" Type="http://schemas.openxmlformats.org/officeDocument/2006/relationships/hyperlink" Target="https://climbinggymheaven.com/product/trios-octus-35_3/" TargetMode="External"/><Relationship Id="rId28" Type="http://schemas.openxmlformats.org/officeDocument/2006/relationships/hyperlink" Target="https://climbinggymheaven.com/product/trios-octus-35_8/" TargetMode="External"/><Relationship Id="rId36" Type="http://schemas.openxmlformats.org/officeDocument/2006/relationships/hyperlink" Target="https://climbinggymheaven.com/product/trios-octus-45_8/" TargetMode="External"/><Relationship Id="rId49" Type="http://schemas.openxmlformats.org/officeDocument/2006/relationships/hyperlink" Target="https://climbinggymheaven.com/product/illusion-butterfly-8r/" TargetMode="External"/><Relationship Id="rId57" Type="http://schemas.openxmlformats.org/officeDocument/2006/relationships/hyperlink" Target="https://climbinggymheaven.com/product/manta-open-r-750-ilw-05-04/" TargetMode="External"/><Relationship Id="rId10" Type="http://schemas.openxmlformats.org/officeDocument/2006/relationships/hyperlink" Target="https://climbinggymheaven.com/product/wing-50-l/" TargetMode="External"/><Relationship Id="rId31" Type="http://schemas.openxmlformats.org/officeDocument/2006/relationships/hyperlink" Target="https://climbinggymheaven.com/product/trios-octus-45_3/" TargetMode="External"/><Relationship Id="rId44" Type="http://schemas.openxmlformats.org/officeDocument/2006/relationships/hyperlink" Target="https://climbinggymheaven.com/product/butterfly-6l/" TargetMode="External"/><Relationship Id="rId52" Type="http://schemas.openxmlformats.org/officeDocument/2006/relationships/hyperlink" Target="https://climbinggymheaven.com/product/illusion-butterfly-10l/" TargetMode="External"/><Relationship Id="rId60" Type="http://schemas.openxmlformats.org/officeDocument/2006/relationships/hyperlink" Target="https://climbinggymheaven.com/product/manta-open-l-900-ilw-05-07/" TargetMode="External"/><Relationship Id="rId65" Type="http://schemas.openxmlformats.org/officeDocument/2006/relationships/hyperlink" Target="https://climbinggymheaven.com/product/manta-open-r-1000-ilw-05-12/" TargetMode="External"/><Relationship Id="rId73" Type="http://schemas.openxmlformats.org/officeDocument/2006/relationships/hyperlink" Target="https://climbinggymheaven.com/product/manta-open-r-1300-ilw-05-20/" TargetMode="External"/><Relationship Id="rId78" Type="http://schemas.openxmlformats.org/officeDocument/2006/relationships/hyperlink" Target="https://climbinggymheaven.com/product/butterfly-1l/" TargetMode="External"/><Relationship Id="rId81" Type="http://schemas.openxmlformats.org/officeDocument/2006/relationships/hyperlink" Target="https://climbinggymheaven.com/product/ilw-06-01-fusion/" TargetMode="External"/><Relationship Id="rId86" Type="http://schemas.openxmlformats.org/officeDocument/2006/relationships/hyperlink" Target="https://climbinggymheaven.com/product/ilw-06-11-fusion-11/" TargetMode="External"/><Relationship Id="rId94" Type="http://schemas.openxmlformats.org/officeDocument/2006/relationships/hyperlink" Target="https://climbinggymheaven.com/product/ilw-06-12-fusion-12/" TargetMode="External"/><Relationship Id="rId99" Type="http://schemas.openxmlformats.org/officeDocument/2006/relationships/hyperlink" Target="https://climbinggymheaven.com/product/ilw-06-02-fusion-2/" TargetMode="External"/><Relationship Id="rId101" Type="http://schemas.openxmlformats.org/officeDocument/2006/relationships/drawing" Target="../drawings/drawing4.xml"/><Relationship Id="rId4" Type="http://schemas.openxmlformats.org/officeDocument/2006/relationships/hyperlink" Target="https://climbinggymheaven.com/product/wing-80-l/" TargetMode="External"/><Relationship Id="rId9" Type="http://schemas.openxmlformats.org/officeDocument/2006/relationships/hyperlink" Target="https://climbinggymheaven.com/product/wing-50-r/" TargetMode="External"/><Relationship Id="rId13" Type="http://schemas.openxmlformats.org/officeDocument/2006/relationships/hyperlink" Target="https://climbinggymheaven.com/product/pinch-4-r/" TargetMode="External"/><Relationship Id="rId18" Type="http://schemas.openxmlformats.org/officeDocument/2006/relationships/hyperlink" Target="https://climbinggymheaven.com/product/pinch-2-l/" TargetMode="External"/><Relationship Id="rId39" Type="http://schemas.openxmlformats.org/officeDocument/2006/relationships/hyperlink" Target="https://climbinggymheaven.com/product/illusion-butterfly-3r/" TargetMode="External"/><Relationship Id="rId34" Type="http://schemas.openxmlformats.org/officeDocument/2006/relationships/hyperlink" Target="https://climbinggymheaven.com/product/trios-octus-45_6/" TargetMode="External"/><Relationship Id="rId50" Type="http://schemas.openxmlformats.org/officeDocument/2006/relationships/hyperlink" Target="https://climbinggymheaven.com/product/illusion-butterfly-9l/" TargetMode="External"/><Relationship Id="rId55" Type="http://schemas.openxmlformats.org/officeDocument/2006/relationships/hyperlink" Target="https://climbinggymheaven.com/product/manta-closed-r-750-ilw-05-02/" TargetMode="External"/><Relationship Id="rId76" Type="http://schemas.openxmlformats.org/officeDocument/2006/relationships/hyperlink" Target="https://climbinggymheaven.com/product/manta-open-l-1450-ilw-05-23/" TargetMode="External"/><Relationship Id="rId97" Type="http://schemas.openxmlformats.org/officeDocument/2006/relationships/hyperlink" Target="https://climbinggymheaven.com/product/ilw-06-18-fusion-18/" TargetMode="External"/><Relationship Id="rId7" Type="http://schemas.openxmlformats.org/officeDocument/2006/relationships/hyperlink" Target="https://climbinggymheaven.com/product/wing-60-r/" TargetMode="External"/><Relationship Id="rId71" Type="http://schemas.openxmlformats.org/officeDocument/2006/relationships/hyperlink" Target="https://climbinggymheaven.com/product/manta-closed-r-1300-ilw-05-18/" TargetMode="External"/><Relationship Id="rId92" Type="http://schemas.openxmlformats.org/officeDocument/2006/relationships/hyperlink" Target="https://climbinggymheaven.com/product/ilw-06-08-fusion-8/" TargetMode="External"/><Relationship Id="rId2" Type="http://schemas.openxmlformats.org/officeDocument/2006/relationships/hyperlink" Target="https://climbinggymheaven.com/product/wing-90-l/" TargetMode="External"/><Relationship Id="rId29" Type="http://schemas.openxmlformats.org/officeDocument/2006/relationships/hyperlink" Target="https://climbinggymheaven.com/product/trios-octus-45_1/" TargetMode="External"/><Relationship Id="rId24" Type="http://schemas.openxmlformats.org/officeDocument/2006/relationships/hyperlink" Target="https://climbinggymheaven.com/product/trios-octus-35_4/" TargetMode="External"/><Relationship Id="rId40" Type="http://schemas.openxmlformats.org/officeDocument/2006/relationships/hyperlink" Target="https://climbinggymheaven.com/product/butterfly-4l/" TargetMode="External"/><Relationship Id="rId45" Type="http://schemas.openxmlformats.org/officeDocument/2006/relationships/hyperlink" Target="https://climbinggymheaven.com/product/butterfly-6r/" TargetMode="External"/><Relationship Id="rId66" Type="http://schemas.openxmlformats.org/officeDocument/2006/relationships/hyperlink" Target="https://climbinggymheaven.com/product/manta-closed-l-1150-ilw-05-13/" TargetMode="External"/><Relationship Id="rId87" Type="http://schemas.openxmlformats.org/officeDocument/2006/relationships/hyperlink" Target="https://climbinggymheaven.com/product/ilw-06-13-fusion-13/" TargetMode="External"/><Relationship Id="rId61" Type="http://schemas.openxmlformats.org/officeDocument/2006/relationships/hyperlink" Target="https://climbinggymheaven.com/product/manta-open-r-900-ilw-05-08/" TargetMode="External"/><Relationship Id="rId82" Type="http://schemas.openxmlformats.org/officeDocument/2006/relationships/hyperlink" Target="https://climbinggymheaven.com/product/ilw-06-02-fusion-2/" TargetMode="External"/><Relationship Id="rId19" Type="http://schemas.openxmlformats.org/officeDocument/2006/relationships/hyperlink" Target="https://climbinggymheaven.com/product/pinch-1-r/" TargetMode="External"/><Relationship Id="rId14" Type="http://schemas.openxmlformats.org/officeDocument/2006/relationships/hyperlink" Target="https://climbinggymheaven.com/product/pinch-4-l/" TargetMode="External"/><Relationship Id="rId30" Type="http://schemas.openxmlformats.org/officeDocument/2006/relationships/hyperlink" Target="https://climbinggymheaven.com/product/trios-octus-45_2/" TargetMode="External"/><Relationship Id="rId35" Type="http://schemas.openxmlformats.org/officeDocument/2006/relationships/hyperlink" Target="https://climbinggymheaven.com/product/trios-octus-45_7/" TargetMode="External"/><Relationship Id="rId56" Type="http://schemas.openxmlformats.org/officeDocument/2006/relationships/hyperlink" Target="https://climbinggymheaven.com/product/manta-open-l-750-ilw-05-03/" TargetMode="External"/><Relationship Id="rId77" Type="http://schemas.openxmlformats.org/officeDocument/2006/relationships/hyperlink" Target="https://climbinggymheaven.com/product/manta-open-r-1450-ilw-05-24/" TargetMode="External"/><Relationship Id="rId100" Type="http://schemas.openxmlformats.org/officeDocument/2006/relationships/printerSettings" Target="../printerSettings/printerSettings4.bin"/><Relationship Id="rId8" Type="http://schemas.openxmlformats.org/officeDocument/2006/relationships/hyperlink" Target="https://climbinggymheaven.com/product/wing-60-l/" TargetMode="External"/><Relationship Id="rId51" Type="http://schemas.openxmlformats.org/officeDocument/2006/relationships/hyperlink" Target="https://climbinggymheaven.com/product/illusion-butterfly-9r/" TargetMode="External"/><Relationship Id="rId72" Type="http://schemas.openxmlformats.org/officeDocument/2006/relationships/hyperlink" Target="https://climbinggymheaven.com/product/manta-open-l-1300-ilw-05-19/" TargetMode="External"/><Relationship Id="rId93" Type="http://schemas.openxmlformats.org/officeDocument/2006/relationships/hyperlink" Target="https://climbinggymheaven.com/product/ilw-06-10-fusion-10/" TargetMode="External"/><Relationship Id="rId98" Type="http://schemas.openxmlformats.org/officeDocument/2006/relationships/hyperlink" Target="https://climbinggymheaven.com/product/ilw-06-03-fusion-3/" TargetMode="External"/><Relationship Id="rId3" Type="http://schemas.openxmlformats.org/officeDocument/2006/relationships/hyperlink" Target="https://climbinggymheaven.com/product/wing-80-r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climbinggymheaven.com/product/oval-cone-17-dt/" TargetMode="External"/><Relationship Id="rId21" Type="http://schemas.openxmlformats.org/officeDocument/2006/relationships/hyperlink" Target="https://climbinggymheaven.com/product/reflection/" TargetMode="External"/><Relationship Id="rId42" Type="http://schemas.openxmlformats.org/officeDocument/2006/relationships/hyperlink" Target="https://climbinggymheaven.com/product/sploong-pinch-6/" TargetMode="External"/><Relationship Id="rId63" Type="http://schemas.openxmlformats.org/officeDocument/2006/relationships/hyperlink" Target="https://climbinggymheaven.com/product/oval-cone-16-dt/" TargetMode="External"/><Relationship Id="rId84" Type="http://schemas.openxmlformats.org/officeDocument/2006/relationships/hyperlink" Target="https://climbinggymheaven.com/product/izohypse-volume-6-dt/" TargetMode="External"/><Relationship Id="rId138" Type="http://schemas.openxmlformats.org/officeDocument/2006/relationships/hyperlink" Target="https://climbinggymheaven.com/product/ilm-16-11-nocturnal-11/" TargetMode="External"/><Relationship Id="rId159" Type="http://schemas.openxmlformats.org/officeDocument/2006/relationships/hyperlink" Target="https://climbinggymheaven.com/product/ilm-18-10-delusion-10/" TargetMode="External"/><Relationship Id="rId107" Type="http://schemas.openxmlformats.org/officeDocument/2006/relationships/hyperlink" Target="https://climbinggymheaven.com/product/oval-cone-pinch-2-dt/" TargetMode="External"/><Relationship Id="rId11" Type="http://schemas.openxmlformats.org/officeDocument/2006/relationships/hyperlink" Target="https://climbinggymheaven.com/product/cone-12/" TargetMode="External"/><Relationship Id="rId32" Type="http://schemas.openxmlformats.org/officeDocument/2006/relationships/hyperlink" Target="https://climbinggymheaven.com/product/retro-nose-6/" TargetMode="External"/><Relationship Id="rId53" Type="http://schemas.openxmlformats.org/officeDocument/2006/relationships/hyperlink" Target="https://climbinggymheaven.com/product/oval-cone-6/" TargetMode="External"/><Relationship Id="rId74" Type="http://schemas.openxmlformats.org/officeDocument/2006/relationships/hyperlink" Target="https://climbinggymheaven.com/product/izohypse-volume-2/" TargetMode="External"/><Relationship Id="rId128" Type="http://schemas.openxmlformats.org/officeDocument/2006/relationships/hyperlink" Target="https://climbinggymheaven.com/product/ilm-16-01-nocturnal-1/" TargetMode="External"/><Relationship Id="rId149" Type="http://schemas.openxmlformats.org/officeDocument/2006/relationships/hyperlink" Target="https://climbinggymheaven.com/product/ilm-12-10-oval-cone-pinch-10/" TargetMode="External"/><Relationship Id="rId5" Type="http://schemas.openxmlformats.org/officeDocument/2006/relationships/hyperlink" Target="https://climbinggymheaven.com/product/cone-6/" TargetMode="External"/><Relationship Id="rId95" Type="http://schemas.openxmlformats.org/officeDocument/2006/relationships/hyperlink" Target="https://climbinggymheaven.com/product/cone-10-dt/" TargetMode="External"/><Relationship Id="rId160" Type="http://schemas.openxmlformats.org/officeDocument/2006/relationships/hyperlink" Target="https://climbinggymheaven.com/product/ilm-18-11-delusion-11/" TargetMode="External"/><Relationship Id="rId22" Type="http://schemas.openxmlformats.org/officeDocument/2006/relationships/hyperlink" Target="https://climbinggymheaven.com/product/mirage/" TargetMode="External"/><Relationship Id="rId43" Type="http://schemas.openxmlformats.org/officeDocument/2006/relationships/hyperlink" Target="https://climbinggymheaven.com/product/sploong-pinch-7/" TargetMode="External"/><Relationship Id="rId64" Type="http://schemas.openxmlformats.org/officeDocument/2006/relationships/hyperlink" Target="https://climbinggymheaven.com/product/oval-cone-17-dt/" TargetMode="External"/><Relationship Id="rId118" Type="http://schemas.openxmlformats.org/officeDocument/2006/relationships/hyperlink" Target="https://climbinggymheaven.com/product/oval-cone-18-dt/" TargetMode="External"/><Relationship Id="rId139" Type="http://schemas.openxmlformats.org/officeDocument/2006/relationships/hyperlink" Target="https://climbinggymheaven.com/product/ilm-16-12-nocturnal-12/" TargetMode="External"/><Relationship Id="rId85" Type="http://schemas.openxmlformats.org/officeDocument/2006/relationships/hyperlink" Target="https://climbinggymheaven.com/product/cone-2-dt/" TargetMode="External"/><Relationship Id="rId150" Type="http://schemas.openxmlformats.org/officeDocument/2006/relationships/hyperlink" Target="https://climbinggymheaven.com/product/ilm-18-01-delusion-1/" TargetMode="External"/><Relationship Id="rId12" Type="http://schemas.openxmlformats.org/officeDocument/2006/relationships/hyperlink" Target="https://climbinggymheaven.com/product/cone-13/" TargetMode="External"/><Relationship Id="rId17" Type="http://schemas.openxmlformats.org/officeDocument/2006/relationships/hyperlink" Target="https://climbinggymheaven.com/product/phantom/" TargetMode="External"/><Relationship Id="rId33" Type="http://schemas.openxmlformats.org/officeDocument/2006/relationships/hyperlink" Target="https://climbinggymheaven.com/product/retro-nose-7/" TargetMode="External"/><Relationship Id="rId38" Type="http://schemas.openxmlformats.org/officeDocument/2006/relationships/hyperlink" Target="https://climbinggymheaven.com/product/sploong-pinch-2/" TargetMode="External"/><Relationship Id="rId59" Type="http://schemas.openxmlformats.org/officeDocument/2006/relationships/hyperlink" Target="https://climbinggymheaven.com/product/oval-cone-12/" TargetMode="External"/><Relationship Id="rId103" Type="http://schemas.openxmlformats.org/officeDocument/2006/relationships/hyperlink" Target="https://climbinggymheaven.com/product/oval-cone-8-dt/" TargetMode="External"/><Relationship Id="rId108" Type="http://schemas.openxmlformats.org/officeDocument/2006/relationships/hyperlink" Target="https://climbinggymheaven.com/product/oval-cone-pinch-3-dt/" TargetMode="External"/><Relationship Id="rId124" Type="http://schemas.openxmlformats.org/officeDocument/2006/relationships/hyperlink" Target="https://climbinggymheaven.com/product/oval-cone-24-dt/" TargetMode="External"/><Relationship Id="rId129" Type="http://schemas.openxmlformats.org/officeDocument/2006/relationships/hyperlink" Target="https://climbinggymheaven.com/product/ilm-16-02-nocturnal-2/" TargetMode="External"/><Relationship Id="rId54" Type="http://schemas.openxmlformats.org/officeDocument/2006/relationships/hyperlink" Target="https://climbinggymheaven.com/product/oval-cone-7/" TargetMode="External"/><Relationship Id="rId70" Type="http://schemas.openxmlformats.org/officeDocument/2006/relationships/hyperlink" Target="https://climbinggymheaven.com/product/oval-cone-23-dt/" TargetMode="External"/><Relationship Id="rId75" Type="http://schemas.openxmlformats.org/officeDocument/2006/relationships/hyperlink" Target="https://climbinggymheaven.com/product/izohypse-volume-3/" TargetMode="External"/><Relationship Id="rId91" Type="http://schemas.openxmlformats.org/officeDocument/2006/relationships/hyperlink" Target="https://climbinggymheaven.com/product/cone-9-dt-2/" TargetMode="External"/><Relationship Id="rId96" Type="http://schemas.openxmlformats.org/officeDocument/2006/relationships/hyperlink" Target="https://climbinggymheaven.com/product/oval-cone-1-dt-2/" TargetMode="External"/><Relationship Id="rId140" Type="http://schemas.openxmlformats.org/officeDocument/2006/relationships/hyperlink" Target="https://climbinggymheaven.com/product/ilm-12-01-oval-cone-pinch-1/" TargetMode="External"/><Relationship Id="rId145" Type="http://schemas.openxmlformats.org/officeDocument/2006/relationships/hyperlink" Target="https://climbinggymheaven.com/product/ilm-12-06-oval-cone-pinch-6/" TargetMode="External"/><Relationship Id="rId161" Type="http://schemas.openxmlformats.org/officeDocument/2006/relationships/hyperlink" Target="https://climbinggymheaven.com/product/ilm-18-12-delusion-12/" TargetMode="External"/><Relationship Id="rId1" Type="http://schemas.openxmlformats.org/officeDocument/2006/relationships/hyperlink" Target="https://climbinggymheaven.com/product/cone-2/" TargetMode="External"/><Relationship Id="rId6" Type="http://schemas.openxmlformats.org/officeDocument/2006/relationships/hyperlink" Target="https://climbinggymheaven.com/product/cone-7/" TargetMode="External"/><Relationship Id="rId23" Type="http://schemas.openxmlformats.org/officeDocument/2006/relationships/hyperlink" Target="https://climbinggymheaven.com/product/vision/" TargetMode="External"/><Relationship Id="rId28" Type="http://schemas.openxmlformats.org/officeDocument/2006/relationships/hyperlink" Target="https://climbinggymheaven.com/product/retro-nose-2/" TargetMode="External"/><Relationship Id="rId49" Type="http://schemas.openxmlformats.org/officeDocument/2006/relationships/hyperlink" Target="https://climbinggymheaven.com/product/oval-cone-2/" TargetMode="External"/><Relationship Id="rId114" Type="http://schemas.openxmlformats.org/officeDocument/2006/relationships/hyperlink" Target="https://climbinggymheaven.com/product/oval-cone-pinch-9-dt/" TargetMode="External"/><Relationship Id="rId119" Type="http://schemas.openxmlformats.org/officeDocument/2006/relationships/hyperlink" Target="https://climbinggymheaven.com/product/oval-cone-19-dt/" TargetMode="External"/><Relationship Id="rId44" Type="http://schemas.openxmlformats.org/officeDocument/2006/relationships/hyperlink" Target="https://climbinggymheaven.com/product/sploong-pinch-8/" TargetMode="External"/><Relationship Id="rId60" Type="http://schemas.openxmlformats.org/officeDocument/2006/relationships/hyperlink" Target="https://climbinggymheaven.com/product/oval-cone-13/" TargetMode="External"/><Relationship Id="rId65" Type="http://schemas.openxmlformats.org/officeDocument/2006/relationships/hyperlink" Target="https://climbinggymheaven.com/product/oval-cone-18-dt/" TargetMode="External"/><Relationship Id="rId81" Type="http://schemas.openxmlformats.org/officeDocument/2006/relationships/hyperlink" Target="https://climbinggymheaven.com/product/izohypse-volume-3-dt/" TargetMode="External"/><Relationship Id="rId86" Type="http://schemas.openxmlformats.org/officeDocument/2006/relationships/hyperlink" Target="https://climbinggymheaven.com/product/cone-3-dt/" TargetMode="External"/><Relationship Id="rId130" Type="http://schemas.openxmlformats.org/officeDocument/2006/relationships/hyperlink" Target="https://climbinggymheaven.com/product/ilm-16-03-nocturnal-3/" TargetMode="External"/><Relationship Id="rId135" Type="http://schemas.openxmlformats.org/officeDocument/2006/relationships/hyperlink" Target="https://climbinggymheaven.com/product/ilm-16-08-nocturnal-8/" TargetMode="External"/><Relationship Id="rId151" Type="http://schemas.openxmlformats.org/officeDocument/2006/relationships/hyperlink" Target="https://climbinggymheaven.com/product/ilm-18-02-delusion-2/" TargetMode="External"/><Relationship Id="rId156" Type="http://schemas.openxmlformats.org/officeDocument/2006/relationships/hyperlink" Target="https://climbinggymheaven.com/product/ilm-18-07-delusion-7/" TargetMode="External"/><Relationship Id="rId13" Type="http://schemas.openxmlformats.org/officeDocument/2006/relationships/hyperlink" Target="https://climbinggymheaven.com/product/confusion/" TargetMode="External"/><Relationship Id="rId18" Type="http://schemas.openxmlformats.org/officeDocument/2006/relationships/hyperlink" Target="https://climbinggymheaven.com/product/fantasy/" TargetMode="External"/><Relationship Id="rId39" Type="http://schemas.openxmlformats.org/officeDocument/2006/relationships/hyperlink" Target="https://climbinggymheaven.com/product/sploong-pinch-3/" TargetMode="External"/><Relationship Id="rId109" Type="http://schemas.openxmlformats.org/officeDocument/2006/relationships/hyperlink" Target="https://climbinggymheaven.com/product/oval-cone-pinch-4-dt/" TargetMode="External"/><Relationship Id="rId34" Type="http://schemas.openxmlformats.org/officeDocument/2006/relationships/hyperlink" Target="https://climbinggymheaven.com/product/retro-nose-8/" TargetMode="External"/><Relationship Id="rId50" Type="http://schemas.openxmlformats.org/officeDocument/2006/relationships/hyperlink" Target="https://climbinggymheaven.com/product/oval-cone-3/" TargetMode="External"/><Relationship Id="rId55" Type="http://schemas.openxmlformats.org/officeDocument/2006/relationships/hyperlink" Target="https://climbinggymheaven.com/product/oval-cone-8/" TargetMode="External"/><Relationship Id="rId76" Type="http://schemas.openxmlformats.org/officeDocument/2006/relationships/hyperlink" Target="https://climbinggymheaven.com/product/izohypse-volume-4/" TargetMode="External"/><Relationship Id="rId97" Type="http://schemas.openxmlformats.org/officeDocument/2006/relationships/hyperlink" Target="https://climbinggymheaven.com/product/oval-cone-2-dt-2/" TargetMode="External"/><Relationship Id="rId104" Type="http://schemas.openxmlformats.org/officeDocument/2006/relationships/hyperlink" Target="https://climbinggymheaven.com/product/oval-cone-9-dt/" TargetMode="External"/><Relationship Id="rId120" Type="http://schemas.openxmlformats.org/officeDocument/2006/relationships/hyperlink" Target="https://climbinggymheaven.com/product/oval-cone-20-dt/" TargetMode="External"/><Relationship Id="rId125" Type="http://schemas.openxmlformats.org/officeDocument/2006/relationships/hyperlink" Target="https://climbinggymheaven.com/product/oval-cone-25-dt/" TargetMode="External"/><Relationship Id="rId141" Type="http://schemas.openxmlformats.org/officeDocument/2006/relationships/hyperlink" Target="https://climbinggymheaven.com/product/ilm-12-02-oval-cone-pinch-2/" TargetMode="External"/><Relationship Id="rId146" Type="http://schemas.openxmlformats.org/officeDocument/2006/relationships/hyperlink" Target="https://climbinggymheaven.com/product/ilm-12-07-oval-cone-pinch-7/" TargetMode="External"/><Relationship Id="rId7" Type="http://schemas.openxmlformats.org/officeDocument/2006/relationships/hyperlink" Target="https://climbinggymheaven.com/product/cone-8/" TargetMode="External"/><Relationship Id="rId71" Type="http://schemas.openxmlformats.org/officeDocument/2006/relationships/hyperlink" Target="https://climbinggymheaven.com/product/oval-cone-24-dt/" TargetMode="External"/><Relationship Id="rId92" Type="http://schemas.openxmlformats.org/officeDocument/2006/relationships/hyperlink" Target="https://climbinggymheaven.com/product/cone-11-dt/" TargetMode="External"/><Relationship Id="rId162" Type="http://schemas.openxmlformats.org/officeDocument/2006/relationships/hyperlink" Target="https://climbinggymheaven.com/product/ilm-18-13-delusion-13/" TargetMode="External"/><Relationship Id="rId2" Type="http://schemas.openxmlformats.org/officeDocument/2006/relationships/hyperlink" Target="https://climbinggymheaven.com/product/cone-3/" TargetMode="External"/><Relationship Id="rId29" Type="http://schemas.openxmlformats.org/officeDocument/2006/relationships/hyperlink" Target="https://climbinggymheaven.com/product/retro-nose-3/" TargetMode="External"/><Relationship Id="rId24" Type="http://schemas.openxmlformats.org/officeDocument/2006/relationships/hyperlink" Target="https://climbinggymheaven.com/product/virtuality/" TargetMode="External"/><Relationship Id="rId40" Type="http://schemas.openxmlformats.org/officeDocument/2006/relationships/hyperlink" Target="https://climbinggymheaven.com/product/sploong-pinch-4/" TargetMode="External"/><Relationship Id="rId45" Type="http://schemas.openxmlformats.org/officeDocument/2006/relationships/hyperlink" Target="https://climbinggymheaven.com/product/sploong-pinch-9/" TargetMode="External"/><Relationship Id="rId66" Type="http://schemas.openxmlformats.org/officeDocument/2006/relationships/hyperlink" Target="https://climbinggymheaven.com/product/oval-cone-19-dt/" TargetMode="External"/><Relationship Id="rId87" Type="http://schemas.openxmlformats.org/officeDocument/2006/relationships/hyperlink" Target="https://climbinggymheaven.com/product/cone-4-dt/" TargetMode="External"/><Relationship Id="rId110" Type="http://schemas.openxmlformats.org/officeDocument/2006/relationships/hyperlink" Target="https://climbinggymheaven.com/product/oval-cone-pinch-5-dt/" TargetMode="External"/><Relationship Id="rId115" Type="http://schemas.openxmlformats.org/officeDocument/2006/relationships/hyperlink" Target="https://climbinggymheaven.com/product/oval-cone-pinch-10-dt/" TargetMode="External"/><Relationship Id="rId131" Type="http://schemas.openxmlformats.org/officeDocument/2006/relationships/hyperlink" Target="https://climbinggymheaven.com/product/ilm-16-04-nocturnal-4/" TargetMode="External"/><Relationship Id="rId136" Type="http://schemas.openxmlformats.org/officeDocument/2006/relationships/hyperlink" Target="https://climbinggymheaven.com/product/ilm-16-09-nocturnal-9/" TargetMode="External"/><Relationship Id="rId157" Type="http://schemas.openxmlformats.org/officeDocument/2006/relationships/hyperlink" Target="https://climbinggymheaven.com/product/ilm-18-08-delusion-8/" TargetMode="External"/><Relationship Id="rId61" Type="http://schemas.openxmlformats.org/officeDocument/2006/relationships/hyperlink" Target="https://climbinggymheaven.com/product/oval-cone-14/" TargetMode="External"/><Relationship Id="rId82" Type="http://schemas.openxmlformats.org/officeDocument/2006/relationships/hyperlink" Target="https://climbinggymheaven.com/product/izohypse-volume-4-dt/" TargetMode="External"/><Relationship Id="rId152" Type="http://schemas.openxmlformats.org/officeDocument/2006/relationships/hyperlink" Target="https://climbinggymheaven.com/product/ilm-18-03-delusion-3/" TargetMode="External"/><Relationship Id="rId19" Type="http://schemas.openxmlformats.org/officeDocument/2006/relationships/hyperlink" Target="https://climbinggymheaven.com/product/imagination/" TargetMode="External"/><Relationship Id="rId14" Type="http://schemas.openxmlformats.org/officeDocument/2006/relationships/hyperlink" Target="https://climbinggymheaven.com/product/hallucination/" TargetMode="External"/><Relationship Id="rId30" Type="http://schemas.openxmlformats.org/officeDocument/2006/relationships/hyperlink" Target="https://climbinggymheaven.com/product/retro-nose-4/" TargetMode="External"/><Relationship Id="rId35" Type="http://schemas.openxmlformats.org/officeDocument/2006/relationships/hyperlink" Target="https://climbinggymheaven.com/product/retro-nose-9/" TargetMode="External"/><Relationship Id="rId56" Type="http://schemas.openxmlformats.org/officeDocument/2006/relationships/hyperlink" Target="https://climbinggymheaven.com/product/oval-cone-9/" TargetMode="External"/><Relationship Id="rId77" Type="http://schemas.openxmlformats.org/officeDocument/2006/relationships/hyperlink" Target="https://climbinggymheaven.com/product/izohypse-volume-5/" TargetMode="External"/><Relationship Id="rId100" Type="http://schemas.openxmlformats.org/officeDocument/2006/relationships/hyperlink" Target="https://climbinggymheaven.com/product/oval-cone-5-dt/" TargetMode="External"/><Relationship Id="rId105" Type="http://schemas.openxmlformats.org/officeDocument/2006/relationships/hyperlink" Target="https://climbinggymheaven.com/product/oval-cone-10-dt/" TargetMode="External"/><Relationship Id="rId126" Type="http://schemas.openxmlformats.org/officeDocument/2006/relationships/hyperlink" Target="https://climbinggymheaven.com/product/oval-cone-16-dt/" TargetMode="External"/><Relationship Id="rId147" Type="http://schemas.openxmlformats.org/officeDocument/2006/relationships/hyperlink" Target="https://climbinggymheaven.com/product/ilm-12-08-oval-cone-pinch-8/" TargetMode="External"/><Relationship Id="rId8" Type="http://schemas.openxmlformats.org/officeDocument/2006/relationships/hyperlink" Target="https://climbinggymheaven.com/product/cone-9/" TargetMode="External"/><Relationship Id="rId51" Type="http://schemas.openxmlformats.org/officeDocument/2006/relationships/hyperlink" Target="https://climbinggymheaven.com/product/oval-cone-4/" TargetMode="External"/><Relationship Id="rId72" Type="http://schemas.openxmlformats.org/officeDocument/2006/relationships/hyperlink" Target="https://climbinggymheaven.com/product/oval-cone-25-dt/" TargetMode="External"/><Relationship Id="rId93" Type="http://schemas.openxmlformats.org/officeDocument/2006/relationships/hyperlink" Target="https://climbinggymheaven.com/product/cone-12-dt/" TargetMode="External"/><Relationship Id="rId98" Type="http://schemas.openxmlformats.org/officeDocument/2006/relationships/hyperlink" Target="https://climbinggymheaven.com/product/oval-cone-3-dt/" TargetMode="External"/><Relationship Id="rId121" Type="http://schemas.openxmlformats.org/officeDocument/2006/relationships/hyperlink" Target="https://climbinggymheaven.com/product/oval-cone-21-dt/" TargetMode="External"/><Relationship Id="rId142" Type="http://schemas.openxmlformats.org/officeDocument/2006/relationships/hyperlink" Target="https://climbinggymheaven.com/product/ilm-12-03-oval-cone-pinch-3/" TargetMode="External"/><Relationship Id="rId163" Type="http://schemas.openxmlformats.org/officeDocument/2006/relationships/printerSettings" Target="../printerSettings/printerSettings5.bin"/><Relationship Id="rId3" Type="http://schemas.openxmlformats.org/officeDocument/2006/relationships/hyperlink" Target="https://climbinggymheaven.com/product/cone-4/" TargetMode="External"/><Relationship Id="rId25" Type="http://schemas.openxmlformats.org/officeDocument/2006/relationships/hyperlink" Target="https://climbinggymheaven.com/product/cone-14/" TargetMode="External"/><Relationship Id="rId46" Type="http://schemas.openxmlformats.org/officeDocument/2006/relationships/hyperlink" Target="https://climbinggymheaven.com/product/sploong-pinch-10/" TargetMode="External"/><Relationship Id="rId67" Type="http://schemas.openxmlformats.org/officeDocument/2006/relationships/hyperlink" Target="https://climbinggymheaven.com/product/oval-cone-20-dt/" TargetMode="External"/><Relationship Id="rId116" Type="http://schemas.openxmlformats.org/officeDocument/2006/relationships/hyperlink" Target="https://climbinggymheaven.com/product/oval-cone-16-dt/" TargetMode="External"/><Relationship Id="rId137" Type="http://schemas.openxmlformats.org/officeDocument/2006/relationships/hyperlink" Target="https://climbinggymheaven.com/product/ilm-16-10-nocturnal-10/" TargetMode="External"/><Relationship Id="rId158" Type="http://schemas.openxmlformats.org/officeDocument/2006/relationships/hyperlink" Target="https://climbinggymheaven.com/product/ilm-18-09-delusion-9/" TargetMode="External"/><Relationship Id="rId20" Type="http://schemas.openxmlformats.org/officeDocument/2006/relationships/hyperlink" Target="https://climbinggymheaven.com/product/fatamorgana/" TargetMode="External"/><Relationship Id="rId41" Type="http://schemas.openxmlformats.org/officeDocument/2006/relationships/hyperlink" Target="https://climbinggymheaven.com/product/sploong-pinch-5/" TargetMode="External"/><Relationship Id="rId62" Type="http://schemas.openxmlformats.org/officeDocument/2006/relationships/hyperlink" Target="https://climbinggymheaven.com/product/oval-cone-15/" TargetMode="External"/><Relationship Id="rId83" Type="http://schemas.openxmlformats.org/officeDocument/2006/relationships/hyperlink" Target="https://climbinggymheaven.com/product/izohypse-volume-5-dt/" TargetMode="External"/><Relationship Id="rId88" Type="http://schemas.openxmlformats.org/officeDocument/2006/relationships/hyperlink" Target="https://climbinggymheaven.com/product/cone-5-dt/" TargetMode="External"/><Relationship Id="rId111" Type="http://schemas.openxmlformats.org/officeDocument/2006/relationships/hyperlink" Target="https://climbinggymheaven.com/product/oval-cone-pinch-6-dt/" TargetMode="External"/><Relationship Id="rId132" Type="http://schemas.openxmlformats.org/officeDocument/2006/relationships/hyperlink" Target="https://climbinggymheaven.com/product/ilm-16-05-nocturnal-5/" TargetMode="External"/><Relationship Id="rId153" Type="http://schemas.openxmlformats.org/officeDocument/2006/relationships/hyperlink" Target="https://climbinggymheaven.com/product/ilm-18-04-delusion-4/" TargetMode="External"/><Relationship Id="rId15" Type="http://schemas.openxmlformats.org/officeDocument/2006/relationships/hyperlink" Target="https://climbinggymheaven.com/product/deception/" TargetMode="External"/><Relationship Id="rId36" Type="http://schemas.openxmlformats.org/officeDocument/2006/relationships/hyperlink" Target="https://climbinggymheaven.com/product/retro-nose-10/" TargetMode="External"/><Relationship Id="rId57" Type="http://schemas.openxmlformats.org/officeDocument/2006/relationships/hyperlink" Target="https://climbinggymheaven.com/product/oval-cone-10/" TargetMode="External"/><Relationship Id="rId106" Type="http://schemas.openxmlformats.org/officeDocument/2006/relationships/hyperlink" Target="https://climbinggymheaven.com/product/oval-cone-pinch-1-dt/" TargetMode="External"/><Relationship Id="rId127" Type="http://schemas.openxmlformats.org/officeDocument/2006/relationships/hyperlink" Target="https://climbinggymheaven.com/product/cone-16/" TargetMode="External"/><Relationship Id="rId10" Type="http://schemas.openxmlformats.org/officeDocument/2006/relationships/hyperlink" Target="https://climbinggymheaven.com/product/cone-11/" TargetMode="External"/><Relationship Id="rId31" Type="http://schemas.openxmlformats.org/officeDocument/2006/relationships/hyperlink" Target="https://climbinggymheaven.com/product/retro-nose-5/" TargetMode="External"/><Relationship Id="rId52" Type="http://schemas.openxmlformats.org/officeDocument/2006/relationships/hyperlink" Target="https://climbinggymheaven.com/product/oval-cone-5/" TargetMode="External"/><Relationship Id="rId73" Type="http://schemas.openxmlformats.org/officeDocument/2006/relationships/hyperlink" Target="https://climbinggymheaven.com/product/izohypse-volume-1-2/" TargetMode="External"/><Relationship Id="rId78" Type="http://schemas.openxmlformats.org/officeDocument/2006/relationships/hyperlink" Target="https://climbinggymheaven.com/product/izohypse-volume-6/" TargetMode="External"/><Relationship Id="rId94" Type="http://schemas.openxmlformats.org/officeDocument/2006/relationships/hyperlink" Target="https://climbinggymheaven.com/product/cone-13-dt/" TargetMode="External"/><Relationship Id="rId99" Type="http://schemas.openxmlformats.org/officeDocument/2006/relationships/hyperlink" Target="https://climbinggymheaven.com/product/oval-cone-4-dt/" TargetMode="External"/><Relationship Id="rId101" Type="http://schemas.openxmlformats.org/officeDocument/2006/relationships/hyperlink" Target="https://climbinggymheaven.com/product/oval-cone-6-dt/" TargetMode="External"/><Relationship Id="rId122" Type="http://schemas.openxmlformats.org/officeDocument/2006/relationships/hyperlink" Target="https://climbinggymheaven.com/product/oval-cone-22-dt/" TargetMode="External"/><Relationship Id="rId143" Type="http://schemas.openxmlformats.org/officeDocument/2006/relationships/hyperlink" Target="https://climbinggymheaven.com/product/ilm-12-04-oval-cone-pinch-4/" TargetMode="External"/><Relationship Id="rId148" Type="http://schemas.openxmlformats.org/officeDocument/2006/relationships/hyperlink" Target="https://climbinggymheaven.com/product/ilm-12-09-oval-cone-pinch-9/" TargetMode="External"/><Relationship Id="rId164" Type="http://schemas.openxmlformats.org/officeDocument/2006/relationships/drawing" Target="../drawings/drawing5.xml"/><Relationship Id="rId4" Type="http://schemas.openxmlformats.org/officeDocument/2006/relationships/hyperlink" Target="https://climbinggymheaven.com/product/cone-5/" TargetMode="External"/><Relationship Id="rId9" Type="http://schemas.openxmlformats.org/officeDocument/2006/relationships/hyperlink" Target="https://climbinggymheaven.com/product/cone-10/" TargetMode="External"/><Relationship Id="rId26" Type="http://schemas.openxmlformats.org/officeDocument/2006/relationships/hyperlink" Target="https://climbinggymheaven.com/product/cone-15/" TargetMode="External"/><Relationship Id="rId47" Type="http://schemas.openxmlformats.org/officeDocument/2006/relationships/hyperlink" Target="https://climbinggymheaven.com/product/cone-1/" TargetMode="External"/><Relationship Id="rId68" Type="http://schemas.openxmlformats.org/officeDocument/2006/relationships/hyperlink" Target="https://climbinggymheaven.com/product/oval-cone-21-dt/" TargetMode="External"/><Relationship Id="rId89" Type="http://schemas.openxmlformats.org/officeDocument/2006/relationships/hyperlink" Target="https://climbinggymheaven.com/product/cone-7-dt/" TargetMode="External"/><Relationship Id="rId112" Type="http://schemas.openxmlformats.org/officeDocument/2006/relationships/hyperlink" Target="https://climbinggymheaven.com/product/oval-cone-pinch-7-dt/" TargetMode="External"/><Relationship Id="rId133" Type="http://schemas.openxmlformats.org/officeDocument/2006/relationships/hyperlink" Target="https://climbinggymheaven.com/product/ilm-16-06-nocturnal-6/" TargetMode="External"/><Relationship Id="rId154" Type="http://schemas.openxmlformats.org/officeDocument/2006/relationships/hyperlink" Target="https://climbinggymheaven.com/product/ilm-18-05-delusion-5/" TargetMode="External"/><Relationship Id="rId16" Type="http://schemas.openxmlformats.org/officeDocument/2006/relationships/hyperlink" Target="https://climbinggymheaven.com/product/impression/" TargetMode="External"/><Relationship Id="rId37" Type="http://schemas.openxmlformats.org/officeDocument/2006/relationships/hyperlink" Target="https://climbinggymheaven.com/product/sploong-pinch-1/" TargetMode="External"/><Relationship Id="rId58" Type="http://schemas.openxmlformats.org/officeDocument/2006/relationships/hyperlink" Target="https://climbinggymheaven.com/product/oval-cone-11/" TargetMode="External"/><Relationship Id="rId79" Type="http://schemas.openxmlformats.org/officeDocument/2006/relationships/hyperlink" Target="https://climbinggymheaven.com/product/izohypse-volume-1-dt-2/" TargetMode="External"/><Relationship Id="rId102" Type="http://schemas.openxmlformats.org/officeDocument/2006/relationships/hyperlink" Target="https://climbinggymheaven.com/product/oval-cone-7-dt/" TargetMode="External"/><Relationship Id="rId123" Type="http://schemas.openxmlformats.org/officeDocument/2006/relationships/hyperlink" Target="https://climbinggymheaven.com/product/oval-cone-23-dt/" TargetMode="External"/><Relationship Id="rId144" Type="http://schemas.openxmlformats.org/officeDocument/2006/relationships/hyperlink" Target="https://climbinggymheaven.com/product/ilm-12-05-oval-cone-pinch-5/" TargetMode="External"/><Relationship Id="rId90" Type="http://schemas.openxmlformats.org/officeDocument/2006/relationships/hyperlink" Target="https://climbinggymheaven.com/product/cone-8-dt/" TargetMode="External"/><Relationship Id="rId165" Type="http://schemas.openxmlformats.org/officeDocument/2006/relationships/table" Target="../tables/table5.xml"/><Relationship Id="rId27" Type="http://schemas.openxmlformats.org/officeDocument/2006/relationships/hyperlink" Target="https://climbinggymheaven.com/product/retro-nose-1/" TargetMode="External"/><Relationship Id="rId48" Type="http://schemas.openxmlformats.org/officeDocument/2006/relationships/hyperlink" Target="https://climbinggymheaven.com/product/oval-cone-1/" TargetMode="External"/><Relationship Id="rId69" Type="http://schemas.openxmlformats.org/officeDocument/2006/relationships/hyperlink" Target="https://climbinggymheaven.com/product/oval-cone-22-dt/" TargetMode="External"/><Relationship Id="rId113" Type="http://schemas.openxmlformats.org/officeDocument/2006/relationships/hyperlink" Target="https://climbinggymheaven.com/product/oval-cone-pinch-8-dt/" TargetMode="External"/><Relationship Id="rId134" Type="http://schemas.openxmlformats.org/officeDocument/2006/relationships/hyperlink" Target="https://climbinggymheaven.com/product/ilm-16-07-nocturnal-7/" TargetMode="External"/><Relationship Id="rId80" Type="http://schemas.openxmlformats.org/officeDocument/2006/relationships/hyperlink" Target="https://climbinggymheaven.com/product/izohypse-volume-2-dt/" TargetMode="External"/><Relationship Id="rId155" Type="http://schemas.openxmlformats.org/officeDocument/2006/relationships/hyperlink" Target="https://climbinggymheaven.com/product/ilm-18-06-delusion-6/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pyramide-e4-left/" TargetMode="External"/><Relationship Id="rId18" Type="http://schemas.openxmlformats.org/officeDocument/2006/relationships/hyperlink" Target="https://climbinggymheaven.com/product/pyramide-f4-right/" TargetMode="External"/><Relationship Id="rId26" Type="http://schemas.openxmlformats.org/officeDocument/2006/relationships/hyperlink" Target="https://climbinggymheaven.com/product/pyramide-i1/" TargetMode="External"/><Relationship Id="rId39" Type="http://schemas.openxmlformats.org/officeDocument/2006/relationships/hyperlink" Target="https://climbinggymheaven.com/product/connection-pack/" TargetMode="External"/><Relationship Id="rId21" Type="http://schemas.openxmlformats.org/officeDocument/2006/relationships/hyperlink" Target="https://climbinggymheaven.com/product/pyramide-g4-left/" TargetMode="External"/><Relationship Id="rId34" Type="http://schemas.openxmlformats.org/officeDocument/2006/relationships/hyperlink" Target="https://climbinggymheaven.com/product/pyramide-r1/" TargetMode="External"/><Relationship Id="rId42" Type="http://schemas.openxmlformats.org/officeDocument/2006/relationships/hyperlink" Target="https://climbinggymheaven.com/product/puzzle-pack-mini-inw-02-07/" TargetMode="External"/><Relationship Id="rId47" Type="http://schemas.openxmlformats.org/officeDocument/2006/relationships/hyperlink" Target="https://climbinggymheaven.com/product/inw-02-12-mystic-pack/" TargetMode="External"/><Relationship Id="rId50" Type="http://schemas.openxmlformats.org/officeDocument/2006/relationships/hyperlink" Target="https://climbinggymheaven.com/product/inw-03-00-tangram-pack/" TargetMode="External"/><Relationship Id="rId7" Type="http://schemas.openxmlformats.org/officeDocument/2006/relationships/hyperlink" Target="https://climbinggymheaven.com/product/pyramide-c1/" TargetMode="External"/><Relationship Id="rId2" Type="http://schemas.openxmlformats.org/officeDocument/2006/relationships/hyperlink" Target="https://climbinggymheaven.com/product/pyramide-a4-2/" TargetMode="External"/><Relationship Id="rId16" Type="http://schemas.openxmlformats.org/officeDocument/2006/relationships/hyperlink" Target="https://climbinggymheaven.com/product/pyramide-f1-right/" TargetMode="External"/><Relationship Id="rId29" Type="http://schemas.openxmlformats.org/officeDocument/2006/relationships/hyperlink" Target="https://climbinggymheaven.com/product/pyramide-i4/" TargetMode="External"/><Relationship Id="rId11" Type="http://schemas.openxmlformats.org/officeDocument/2006/relationships/hyperlink" Target="https://climbinggymheaven.com/product/pyramide-e1-left/" TargetMode="External"/><Relationship Id="rId24" Type="http://schemas.openxmlformats.org/officeDocument/2006/relationships/hyperlink" Target="https://climbinggymheaven.com/product/pyramide-h2/" TargetMode="External"/><Relationship Id="rId32" Type="http://schemas.openxmlformats.org/officeDocument/2006/relationships/hyperlink" Target="https://climbinggymheaven.com/product/pyramide-i7/" TargetMode="External"/><Relationship Id="rId37" Type="http://schemas.openxmlformats.org/officeDocument/2006/relationships/hyperlink" Target="https://climbinggymheaven.com/product/arrow-pack/" TargetMode="External"/><Relationship Id="rId40" Type="http://schemas.openxmlformats.org/officeDocument/2006/relationships/hyperlink" Target="https://climbinggymheaven.com/product/snake-pack/" TargetMode="External"/><Relationship Id="rId45" Type="http://schemas.openxmlformats.org/officeDocument/2006/relationships/hyperlink" Target="https://climbinggymheaven.com/product/inw-02-10-cosmic-pack/" TargetMode="External"/><Relationship Id="rId53" Type="http://schemas.openxmlformats.org/officeDocument/2006/relationships/drawing" Target="../drawings/drawing6.xml"/><Relationship Id="rId5" Type="http://schemas.openxmlformats.org/officeDocument/2006/relationships/hyperlink" Target="https://climbinggymheaven.com/product/pyramide-b3/" TargetMode="External"/><Relationship Id="rId10" Type="http://schemas.openxmlformats.org/officeDocument/2006/relationships/hyperlink" Target="https://climbinggymheaven.com/product/pyramide-c4/" TargetMode="External"/><Relationship Id="rId19" Type="http://schemas.openxmlformats.org/officeDocument/2006/relationships/hyperlink" Target="https://climbinggymheaven.com/product/pyramide-g1-left/" TargetMode="External"/><Relationship Id="rId31" Type="http://schemas.openxmlformats.org/officeDocument/2006/relationships/hyperlink" Target="https://climbinggymheaven.com/product/pyramide-i6/" TargetMode="External"/><Relationship Id="rId44" Type="http://schemas.openxmlformats.org/officeDocument/2006/relationships/hyperlink" Target="https://climbinggymheaven.com/product/inw-02-09-discovery-pack/" TargetMode="External"/><Relationship Id="rId52" Type="http://schemas.openxmlformats.org/officeDocument/2006/relationships/printerSettings" Target="../printerSettings/printerSettings6.bin"/><Relationship Id="rId4" Type="http://schemas.openxmlformats.org/officeDocument/2006/relationships/hyperlink" Target="https://climbinggymheaven.com/product/pyramide-b2/" TargetMode="External"/><Relationship Id="rId9" Type="http://schemas.openxmlformats.org/officeDocument/2006/relationships/hyperlink" Target="https://climbinggymheaven.com/product/pyramide-c3/" TargetMode="External"/><Relationship Id="rId14" Type="http://schemas.openxmlformats.org/officeDocument/2006/relationships/hyperlink" Target="https://climbinggymheaven.com/product/pyramide-e4-right/" TargetMode="External"/><Relationship Id="rId22" Type="http://schemas.openxmlformats.org/officeDocument/2006/relationships/hyperlink" Target="https://climbinggymheaven.com/product/pyramide-g4-right/" TargetMode="External"/><Relationship Id="rId27" Type="http://schemas.openxmlformats.org/officeDocument/2006/relationships/hyperlink" Target="https://climbinggymheaven.com/product/pyramide-i2/" TargetMode="External"/><Relationship Id="rId30" Type="http://schemas.openxmlformats.org/officeDocument/2006/relationships/hyperlink" Target="https://climbinggymheaven.com/product/pyramide-i5/" TargetMode="External"/><Relationship Id="rId35" Type="http://schemas.openxmlformats.org/officeDocument/2006/relationships/hyperlink" Target="https://climbinggymheaven.com/product/pyramide-r2/" TargetMode="External"/><Relationship Id="rId43" Type="http://schemas.openxmlformats.org/officeDocument/2006/relationships/hyperlink" Target="https://climbinggymheaven.com/product/inw-02-08-puzzle-pack-mega/" TargetMode="External"/><Relationship Id="rId48" Type="http://schemas.openxmlformats.org/officeDocument/2006/relationships/hyperlink" Target="https://climbinggymheaven.com/product/inw-02-13-rocket-pack/" TargetMode="External"/><Relationship Id="rId8" Type="http://schemas.openxmlformats.org/officeDocument/2006/relationships/hyperlink" Target="https://climbinggymheaven.com/product/pyramide-c2/" TargetMode="External"/><Relationship Id="rId51" Type="http://schemas.openxmlformats.org/officeDocument/2006/relationships/hyperlink" Target="https://climbinggymheaven.com/product/inw-03-08-tangram-pack-s/" TargetMode="External"/><Relationship Id="rId3" Type="http://schemas.openxmlformats.org/officeDocument/2006/relationships/hyperlink" Target="https://climbinggymheaven.com/product/pyramide-b1/" TargetMode="External"/><Relationship Id="rId12" Type="http://schemas.openxmlformats.org/officeDocument/2006/relationships/hyperlink" Target="https://climbinggymheaven.com/product/pyramide-e1-right/" TargetMode="External"/><Relationship Id="rId17" Type="http://schemas.openxmlformats.org/officeDocument/2006/relationships/hyperlink" Target="https://climbinggymheaven.com/product/pyramide-f4-left/" TargetMode="External"/><Relationship Id="rId25" Type="http://schemas.openxmlformats.org/officeDocument/2006/relationships/hyperlink" Target="https://climbinggymheaven.com/product/pyramide-h3/" TargetMode="External"/><Relationship Id="rId33" Type="http://schemas.openxmlformats.org/officeDocument/2006/relationships/hyperlink" Target="https://climbinggymheaven.com/product/pyramide-i8/" TargetMode="External"/><Relationship Id="rId38" Type="http://schemas.openxmlformats.org/officeDocument/2006/relationships/hyperlink" Target="https://climbinggymheaven.com/product/running-pack/" TargetMode="External"/><Relationship Id="rId46" Type="http://schemas.openxmlformats.org/officeDocument/2006/relationships/hyperlink" Target="https://climbinggymheaven.com/product/inw-02-11-adventure-pack/" TargetMode="External"/><Relationship Id="rId20" Type="http://schemas.openxmlformats.org/officeDocument/2006/relationships/hyperlink" Target="https://climbinggymheaven.com/product/pyramide-g1-right/" TargetMode="External"/><Relationship Id="rId41" Type="http://schemas.openxmlformats.org/officeDocument/2006/relationships/hyperlink" Target="https://climbinggymheaven.com/product/long-pack/" TargetMode="External"/><Relationship Id="rId54" Type="http://schemas.openxmlformats.org/officeDocument/2006/relationships/table" Target="../tables/table6.xml"/><Relationship Id="rId1" Type="http://schemas.openxmlformats.org/officeDocument/2006/relationships/hyperlink" Target="https://climbinggymheaven.com/product/pyramide-a1-2/" TargetMode="External"/><Relationship Id="rId6" Type="http://schemas.openxmlformats.org/officeDocument/2006/relationships/hyperlink" Target="https://climbinggymheaven.com/product/pyramide-b4/" TargetMode="External"/><Relationship Id="rId15" Type="http://schemas.openxmlformats.org/officeDocument/2006/relationships/hyperlink" Target="https://climbinggymheaven.com/product/pyramide-f1-left/" TargetMode="External"/><Relationship Id="rId23" Type="http://schemas.openxmlformats.org/officeDocument/2006/relationships/hyperlink" Target="https://climbinggymheaven.com/product/pyramide-h1/" TargetMode="External"/><Relationship Id="rId28" Type="http://schemas.openxmlformats.org/officeDocument/2006/relationships/hyperlink" Target="https://climbinggymheaven.com/product/pyramide-i3/" TargetMode="External"/><Relationship Id="rId36" Type="http://schemas.openxmlformats.org/officeDocument/2006/relationships/hyperlink" Target="https://climbinggymheaven.com/product/basic-pack/" TargetMode="External"/><Relationship Id="rId49" Type="http://schemas.openxmlformats.org/officeDocument/2006/relationships/hyperlink" Target="https://climbinggymheaven.com/product/inw-02-14-b-pack/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inh-03-03-grisinni-3/" TargetMode="External"/><Relationship Id="rId21" Type="http://schemas.openxmlformats.org/officeDocument/2006/relationships/hyperlink" Target="https://climbinggymheaven.com/product/inh-02-10-road-kill-10/" TargetMode="External"/><Relationship Id="rId42" Type="http://schemas.openxmlformats.org/officeDocument/2006/relationships/hyperlink" Target="https://climbinggymheaven.com/product/inh-04-05-running-oyters-5/" TargetMode="External"/><Relationship Id="rId47" Type="http://schemas.openxmlformats.org/officeDocument/2006/relationships/hyperlink" Target="https://climbinggymheaven.com/product/inh-04-13-running-oyters-13/" TargetMode="External"/><Relationship Id="rId63" Type="http://schemas.openxmlformats.org/officeDocument/2006/relationships/hyperlink" Target="https://climbinggymheaven.com/product/inh-05-14-rabbit-holes-14/" TargetMode="External"/><Relationship Id="rId68" Type="http://schemas.openxmlformats.org/officeDocument/2006/relationships/hyperlink" Target="https://climbinggymheaven.com/product/inh-05-06-rabbit-holes-6/" TargetMode="External"/><Relationship Id="rId84" Type="http://schemas.openxmlformats.org/officeDocument/2006/relationships/hyperlink" Target="https://climbinggymheaven.com/product/inh-07-04-u-grip-4/" TargetMode="External"/><Relationship Id="rId89" Type="http://schemas.openxmlformats.org/officeDocument/2006/relationships/hyperlink" Target="https://climbinggymheaven.com/product/inh-09-02-essentials-2/" TargetMode="External"/><Relationship Id="rId16" Type="http://schemas.openxmlformats.org/officeDocument/2006/relationships/hyperlink" Target="https://climbinggymheaven.com/product/inh-02-04-road-kill-4/" TargetMode="External"/><Relationship Id="rId11" Type="http://schemas.openxmlformats.org/officeDocument/2006/relationships/hyperlink" Target="https://climbinggymheaven.com/product/inh-01-11-chocolate-hills-11/" TargetMode="External"/><Relationship Id="rId32" Type="http://schemas.openxmlformats.org/officeDocument/2006/relationships/hyperlink" Target="https://climbinggymheaven.com/product/inh-03-13-grisinni-13/" TargetMode="External"/><Relationship Id="rId37" Type="http://schemas.openxmlformats.org/officeDocument/2006/relationships/hyperlink" Target="https://climbinggymheaven.com/product/inh-04-01-running-oysters-1/" TargetMode="External"/><Relationship Id="rId53" Type="http://schemas.openxmlformats.org/officeDocument/2006/relationships/hyperlink" Target="https://climbinggymheaven.com/product/inh-05-04-rabbit-holes-4/" TargetMode="External"/><Relationship Id="rId58" Type="http://schemas.openxmlformats.org/officeDocument/2006/relationships/hyperlink" Target="https://climbinggymheaven.com/product/inh-05-09-rabbit-holes-9/" TargetMode="External"/><Relationship Id="rId74" Type="http://schemas.openxmlformats.org/officeDocument/2006/relationships/hyperlink" Target="https://climbinggymheaven.com/product/inh-05-12-rabbit-holes-12/" TargetMode="External"/><Relationship Id="rId79" Type="http://schemas.openxmlformats.org/officeDocument/2006/relationships/hyperlink" Target="https://climbinggymheaven.com/product/inh-07-05-u-grip-5/" TargetMode="External"/><Relationship Id="rId5" Type="http://schemas.openxmlformats.org/officeDocument/2006/relationships/hyperlink" Target="https://climbinggymheaven.com/product/inh-01-05-chocolate-hills-5/" TargetMode="External"/><Relationship Id="rId90" Type="http://schemas.openxmlformats.org/officeDocument/2006/relationships/hyperlink" Target="https://climbinggymheaven.com/product/inh-08-01-grip-tease-1-dt/" TargetMode="External"/><Relationship Id="rId22" Type="http://schemas.openxmlformats.org/officeDocument/2006/relationships/hyperlink" Target="https://climbinggymheaven.com/product/inh-02-11-road-kill-11/" TargetMode="External"/><Relationship Id="rId27" Type="http://schemas.openxmlformats.org/officeDocument/2006/relationships/hyperlink" Target="https://climbinggymheaven.com/product/inh-03-04-grisinni-4/" TargetMode="External"/><Relationship Id="rId43" Type="http://schemas.openxmlformats.org/officeDocument/2006/relationships/hyperlink" Target="https://climbinggymheaven.com/product/inh-04-06-running-oyters-6/" TargetMode="External"/><Relationship Id="rId48" Type="http://schemas.openxmlformats.org/officeDocument/2006/relationships/hyperlink" Target="https://climbinggymheaven.com/product/inh-01-13-chocolate-hills-13/" TargetMode="External"/><Relationship Id="rId64" Type="http://schemas.openxmlformats.org/officeDocument/2006/relationships/hyperlink" Target="https://climbinggymheaven.com/product/inh-05-02-rabbit-holes-2/" TargetMode="External"/><Relationship Id="rId69" Type="http://schemas.openxmlformats.org/officeDocument/2006/relationships/hyperlink" Target="https://climbinggymheaven.com/product/inh-05-07-rabbit-holes-7/" TargetMode="External"/><Relationship Id="rId8" Type="http://schemas.openxmlformats.org/officeDocument/2006/relationships/hyperlink" Target="https://climbinggymheaven.com/product/inh-01-08-chocolate-hills-8/" TargetMode="External"/><Relationship Id="rId51" Type="http://schemas.openxmlformats.org/officeDocument/2006/relationships/hyperlink" Target="https://climbinggymheaven.com/product/inh-05-02-rabbit-holes-2/" TargetMode="External"/><Relationship Id="rId72" Type="http://schemas.openxmlformats.org/officeDocument/2006/relationships/hyperlink" Target="https://climbinggymheaven.com/product/inh-05-10-rabbit-holes-10/" TargetMode="External"/><Relationship Id="rId80" Type="http://schemas.openxmlformats.org/officeDocument/2006/relationships/hyperlink" Target="https://climbinggymheaven.com/product/inh-07-07-u-grip-7/" TargetMode="External"/><Relationship Id="rId85" Type="http://schemas.openxmlformats.org/officeDocument/2006/relationships/hyperlink" Target="https://climbinggymheaven.com/product/inh-07-06-u-grip-6/" TargetMode="External"/><Relationship Id="rId93" Type="http://schemas.openxmlformats.org/officeDocument/2006/relationships/table" Target="../tables/table7.xml"/><Relationship Id="rId3" Type="http://schemas.openxmlformats.org/officeDocument/2006/relationships/hyperlink" Target="https://climbinggymheaven.com/product/inh-01-03-chocolate-hills-3/" TargetMode="External"/><Relationship Id="rId12" Type="http://schemas.openxmlformats.org/officeDocument/2006/relationships/hyperlink" Target="https://climbinggymheaven.com/product/inh-01-12-chocolate-hills-12/" TargetMode="External"/><Relationship Id="rId17" Type="http://schemas.openxmlformats.org/officeDocument/2006/relationships/hyperlink" Target="https://climbinggymheaven.com/product/inh-02-05-road-kill-5/" TargetMode="External"/><Relationship Id="rId25" Type="http://schemas.openxmlformats.org/officeDocument/2006/relationships/hyperlink" Target="https://climbinggymheaven.com/product/inh-03-02-grisinni-2/" TargetMode="External"/><Relationship Id="rId33" Type="http://schemas.openxmlformats.org/officeDocument/2006/relationships/hyperlink" Target="https://climbinggymheaven.com/product/inh-03-14-grisinni-14/" TargetMode="External"/><Relationship Id="rId38" Type="http://schemas.openxmlformats.org/officeDocument/2006/relationships/hyperlink" Target="https://climbinggymheaven.com/product/inh-03-01-grisinni-1/" TargetMode="External"/><Relationship Id="rId46" Type="http://schemas.openxmlformats.org/officeDocument/2006/relationships/hyperlink" Target="https://climbinggymheaven.com/product/inh-04-09-running-oyters-9/" TargetMode="External"/><Relationship Id="rId59" Type="http://schemas.openxmlformats.org/officeDocument/2006/relationships/hyperlink" Target="https://climbinggymheaven.com/product/inh-05-10-rabbit-holes-10/" TargetMode="External"/><Relationship Id="rId67" Type="http://schemas.openxmlformats.org/officeDocument/2006/relationships/hyperlink" Target="https://climbinggymheaven.com/product/inh-05-05-rabbit-holes-5/" TargetMode="External"/><Relationship Id="rId20" Type="http://schemas.openxmlformats.org/officeDocument/2006/relationships/hyperlink" Target="https://climbinggymheaven.com/product/inh-02-09-road-kill-9/" TargetMode="External"/><Relationship Id="rId41" Type="http://schemas.openxmlformats.org/officeDocument/2006/relationships/hyperlink" Target="https://climbinggymheaven.com/product/inh-04-04-running-oyters-4/" TargetMode="External"/><Relationship Id="rId54" Type="http://schemas.openxmlformats.org/officeDocument/2006/relationships/hyperlink" Target="https://climbinggymheaven.com/product/inh-05-05-rabbit-holes-5/" TargetMode="External"/><Relationship Id="rId62" Type="http://schemas.openxmlformats.org/officeDocument/2006/relationships/hyperlink" Target="https://climbinggymheaven.com/product/inh-05-13-rabbit-holes-13/" TargetMode="External"/><Relationship Id="rId70" Type="http://schemas.openxmlformats.org/officeDocument/2006/relationships/hyperlink" Target="https://climbinggymheaven.com/product/inh-05-08-rabbit-holes-8/" TargetMode="External"/><Relationship Id="rId75" Type="http://schemas.openxmlformats.org/officeDocument/2006/relationships/hyperlink" Target="https://climbinggymheaven.com/product/inh-05-13-rabbit-holes-13/" TargetMode="External"/><Relationship Id="rId83" Type="http://schemas.openxmlformats.org/officeDocument/2006/relationships/hyperlink" Target="https://climbinggymheaven.com/product/inh-07-02-u-grip-2/" TargetMode="External"/><Relationship Id="rId88" Type="http://schemas.openxmlformats.org/officeDocument/2006/relationships/hyperlink" Target="https://climbinggymheaven.com/product/inh-09-1-essentials-1/" TargetMode="External"/><Relationship Id="rId91" Type="http://schemas.openxmlformats.org/officeDocument/2006/relationships/printerSettings" Target="../printerSettings/printerSettings7.bin"/><Relationship Id="rId1" Type="http://schemas.openxmlformats.org/officeDocument/2006/relationships/hyperlink" Target="https://climbinggymheaven.com/product/inh-01-01-chocolate-hills-1/" TargetMode="External"/><Relationship Id="rId6" Type="http://schemas.openxmlformats.org/officeDocument/2006/relationships/hyperlink" Target="https://climbinggymheaven.com/product/inh-01-06-chocolate-hills-6/" TargetMode="External"/><Relationship Id="rId15" Type="http://schemas.openxmlformats.org/officeDocument/2006/relationships/hyperlink" Target="https://climbinggymheaven.com/product/inh-02-03-road-kill-3/" TargetMode="External"/><Relationship Id="rId23" Type="http://schemas.openxmlformats.org/officeDocument/2006/relationships/hyperlink" Target="https://climbinggymheaven.com/product/inh-02-12-road-kill-12/" TargetMode="External"/><Relationship Id="rId28" Type="http://schemas.openxmlformats.org/officeDocument/2006/relationships/hyperlink" Target="https://climbinggymheaven.com/product/inh-03-05-grisinni-5/" TargetMode="External"/><Relationship Id="rId36" Type="http://schemas.openxmlformats.org/officeDocument/2006/relationships/hyperlink" Target="https://climbinggymheaven.com/product/inh-03-18-grisinni-18/" TargetMode="External"/><Relationship Id="rId49" Type="http://schemas.openxmlformats.org/officeDocument/2006/relationships/hyperlink" Target="https://climbinggymheaven.com/product/inh-01-14-chocolate-hills-14/" TargetMode="External"/><Relationship Id="rId57" Type="http://schemas.openxmlformats.org/officeDocument/2006/relationships/hyperlink" Target="https://climbinggymheaven.com/product/inh-05-08-rabbit-holes-8/" TargetMode="External"/><Relationship Id="rId10" Type="http://schemas.openxmlformats.org/officeDocument/2006/relationships/hyperlink" Target="https://climbinggymheaven.com/product/inh-01-10-chocolate-hills-10/" TargetMode="External"/><Relationship Id="rId31" Type="http://schemas.openxmlformats.org/officeDocument/2006/relationships/hyperlink" Target="https://climbinggymheaven.com/product/inh-03-08-grisinni-8/" TargetMode="External"/><Relationship Id="rId44" Type="http://schemas.openxmlformats.org/officeDocument/2006/relationships/hyperlink" Target="https://climbinggymheaven.com/product/inh-04-07-running-oyters-7/" TargetMode="External"/><Relationship Id="rId52" Type="http://schemas.openxmlformats.org/officeDocument/2006/relationships/hyperlink" Target="https://climbinggymheaven.com/product/inh-05-03-rabbit-holes-3/" TargetMode="External"/><Relationship Id="rId60" Type="http://schemas.openxmlformats.org/officeDocument/2006/relationships/hyperlink" Target="https://climbinggymheaven.com/product/inh-05-11-rabbit-holes-11/" TargetMode="External"/><Relationship Id="rId65" Type="http://schemas.openxmlformats.org/officeDocument/2006/relationships/hyperlink" Target="https://climbinggymheaven.com/product/inh-05-03-rabbit-holes-3/" TargetMode="External"/><Relationship Id="rId73" Type="http://schemas.openxmlformats.org/officeDocument/2006/relationships/hyperlink" Target="https://climbinggymheaven.com/product/inh-05-11-rabbit-holes-11/" TargetMode="External"/><Relationship Id="rId78" Type="http://schemas.openxmlformats.org/officeDocument/2006/relationships/hyperlink" Target="https://climbinggymheaven.com/product/inh-07-03-u-grip-3/" TargetMode="External"/><Relationship Id="rId81" Type="http://schemas.openxmlformats.org/officeDocument/2006/relationships/hyperlink" Target="https://climbinggymheaven.com/product/inh-07-09-u-grip-9/" TargetMode="External"/><Relationship Id="rId86" Type="http://schemas.openxmlformats.org/officeDocument/2006/relationships/hyperlink" Target="https://climbinggymheaven.com/product/inh-07-08-u-grip-8/" TargetMode="External"/><Relationship Id="rId4" Type="http://schemas.openxmlformats.org/officeDocument/2006/relationships/hyperlink" Target="https://climbinggymheaven.com/product/inh-01-04-chocolate-hills-4/" TargetMode="External"/><Relationship Id="rId9" Type="http://schemas.openxmlformats.org/officeDocument/2006/relationships/hyperlink" Target="https://climbinggymheaven.com/product/inh-01-09-chocolate-hills-9/" TargetMode="External"/><Relationship Id="rId13" Type="http://schemas.openxmlformats.org/officeDocument/2006/relationships/hyperlink" Target="https://climbinggymheaven.com/product/inh-02-01-road-kill-1/" TargetMode="External"/><Relationship Id="rId18" Type="http://schemas.openxmlformats.org/officeDocument/2006/relationships/hyperlink" Target="https://climbinggymheaven.com/product/inh-02-06-road-kill-6/" TargetMode="External"/><Relationship Id="rId39" Type="http://schemas.openxmlformats.org/officeDocument/2006/relationships/hyperlink" Target="https://climbinggymheaven.com/product/inh-04-02-running-oyters-2/" TargetMode="External"/><Relationship Id="rId34" Type="http://schemas.openxmlformats.org/officeDocument/2006/relationships/hyperlink" Target="https://climbinggymheaven.com/product/inh-03-15-grisinni-15/" TargetMode="External"/><Relationship Id="rId50" Type="http://schemas.openxmlformats.org/officeDocument/2006/relationships/hyperlink" Target="https://climbinggymheaven.com/product/inh-05-01-rabbit-holes-1/" TargetMode="External"/><Relationship Id="rId55" Type="http://schemas.openxmlformats.org/officeDocument/2006/relationships/hyperlink" Target="https://climbinggymheaven.com/product/inh-05-06-rabbit-holes-6/" TargetMode="External"/><Relationship Id="rId76" Type="http://schemas.openxmlformats.org/officeDocument/2006/relationships/hyperlink" Target="https://climbinggymheaven.com/product/inh-05-14-rabbit-holes-14/" TargetMode="External"/><Relationship Id="rId7" Type="http://schemas.openxmlformats.org/officeDocument/2006/relationships/hyperlink" Target="https://climbinggymheaven.com/product/inh-01-07-chocolate-hills-7/" TargetMode="External"/><Relationship Id="rId71" Type="http://schemas.openxmlformats.org/officeDocument/2006/relationships/hyperlink" Target="https://climbinggymheaven.com/product/inh-05-09-rabbit-holes-9/" TargetMode="External"/><Relationship Id="rId92" Type="http://schemas.openxmlformats.org/officeDocument/2006/relationships/drawing" Target="../drawings/drawing7.xml"/><Relationship Id="rId2" Type="http://schemas.openxmlformats.org/officeDocument/2006/relationships/hyperlink" Target="https://climbinggymheaven.com/product/inh-01-02-chocolate-hills-2/" TargetMode="External"/><Relationship Id="rId29" Type="http://schemas.openxmlformats.org/officeDocument/2006/relationships/hyperlink" Target="https://climbinggymheaven.com/product/inh-03-06-grisinni-6/" TargetMode="External"/><Relationship Id="rId24" Type="http://schemas.openxmlformats.org/officeDocument/2006/relationships/hyperlink" Target="https://climbinggymheaven.com/product/inh-03-01-grisinni-1/" TargetMode="External"/><Relationship Id="rId40" Type="http://schemas.openxmlformats.org/officeDocument/2006/relationships/hyperlink" Target="https://climbinggymheaven.com/product/inh-04-03-running-oyters-3/" TargetMode="External"/><Relationship Id="rId45" Type="http://schemas.openxmlformats.org/officeDocument/2006/relationships/hyperlink" Target="https://climbinggymheaven.com/product/inh-04-08-running-oyters-8/" TargetMode="External"/><Relationship Id="rId66" Type="http://schemas.openxmlformats.org/officeDocument/2006/relationships/hyperlink" Target="https://climbinggymheaven.com/product/inh-05-04-rabbit-holes-4/" TargetMode="External"/><Relationship Id="rId87" Type="http://schemas.openxmlformats.org/officeDocument/2006/relationships/hyperlink" Target="https://climbinggymheaven.com/product/inh-07-10-u-grip-10/" TargetMode="External"/><Relationship Id="rId61" Type="http://schemas.openxmlformats.org/officeDocument/2006/relationships/hyperlink" Target="https://climbinggymheaven.com/product/inh-05-12-rabbit-holes-12/" TargetMode="External"/><Relationship Id="rId82" Type="http://schemas.openxmlformats.org/officeDocument/2006/relationships/hyperlink" Target="https://climbinggymheaven.com/product/inh-05-01-rabbit-holes-1/" TargetMode="External"/><Relationship Id="rId19" Type="http://schemas.openxmlformats.org/officeDocument/2006/relationships/hyperlink" Target="https://climbinggymheaven.com/product/inh-02-07-road-kill-7/" TargetMode="External"/><Relationship Id="rId14" Type="http://schemas.openxmlformats.org/officeDocument/2006/relationships/hyperlink" Target="https://climbinggymheaven.com/product/inh-02-02-road-kill-2/" TargetMode="External"/><Relationship Id="rId30" Type="http://schemas.openxmlformats.org/officeDocument/2006/relationships/hyperlink" Target="https://climbinggymheaven.com/product/inh-03-07-grisinni-7/" TargetMode="External"/><Relationship Id="rId35" Type="http://schemas.openxmlformats.org/officeDocument/2006/relationships/hyperlink" Target="https://climbinggymheaven.com/product/inh-03-17-grisinni-17/" TargetMode="External"/><Relationship Id="rId56" Type="http://schemas.openxmlformats.org/officeDocument/2006/relationships/hyperlink" Target="https://climbinggymheaven.com/product/inh-05-07-rabbit-holes-7/" TargetMode="External"/><Relationship Id="rId77" Type="http://schemas.openxmlformats.org/officeDocument/2006/relationships/hyperlink" Target="https://climbinggymheaven.com/product/inh-07-01-u-grip-1/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manta-right-2/" TargetMode="External"/><Relationship Id="rId18" Type="http://schemas.openxmlformats.org/officeDocument/2006/relationships/hyperlink" Target="https://climbinggymheaven.com/product/faint/" TargetMode="External"/><Relationship Id="rId26" Type="http://schemas.openxmlformats.org/officeDocument/2006/relationships/hyperlink" Target="https://climbinggymheaven.com/product/onsight/" TargetMode="External"/><Relationship Id="rId39" Type="http://schemas.openxmlformats.org/officeDocument/2006/relationships/hyperlink" Target="https://climbinggymheaven.com/product/tris-medium/" TargetMode="External"/><Relationship Id="rId21" Type="http://schemas.openxmlformats.org/officeDocument/2006/relationships/hyperlink" Target="https://climbinggymheaven.com/product/imothep/" TargetMode="External"/><Relationship Id="rId34" Type="http://schemas.openxmlformats.org/officeDocument/2006/relationships/hyperlink" Target="https://climbinggymheaven.com/product/cheese-xl/" TargetMode="External"/><Relationship Id="rId42" Type="http://schemas.openxmlformats.org/officeDocument/2006/relationships/hyperlink" Target="https://climbinggymheaven.com/product/teardrop/" TargetMode="External"/><Relationship Id="rId47" Type="http://schemas.openxmlformats.org/officeDocument/2006/relationships/hyperlink" Target="https://climbinggymheaven.com/product/dragonfly/" TargetMode="External"/><Relationship Id="rId50" Type="http://schemas.openxmlformats.org/officeDocument/2006/relationships/hyperlink" Target="https://climbinggymheaven.com/product/tulip/" TargetMode="External"/><Relationship Id="rId55" Type="http://schemas.openxmlformats.org/officeDocument/2006/relationships/hyperlink" Target="https://climbinggymheaven.com/product/small-slice-right-3/" TargetMode="External"/><Relationship Id="rId63" Type="http://schemas.openxmlformats.org/officeDocument/2006/relationships/table" Target="../tables/table8.xml"/><Relationship Id="rId7" Type="http://schemas.openxmlformats.org/officeDocument/2006/relationships/hyperlink" Target="https://climbinggymheaven.com/product/vertigo/" TargetMode="External"/><Relationship Id="rId2" Type="http://schemas.openxmlformats.org/officeDocument/2006/relationships/hyperlink" Target="https://climbinggymheaven.com/product/blizzard/" TargetMode="External"/><Relationship Id="rId16" Type="http://schemas.openxmlformats.org/officeDocument/2006/relationships/hyperlink" Target="https://climbinggymheaven.com/product/asteroid/" TargetMode="External"/><Relationship Id="rId29" Type="http://schemas.openxmlformats.org/officeDocument/2006/relationships/hyperlink" Target="https://climbinggymheaven.com/product/twister/" TargetMode="External"/><Relationship Id="rId11" Type="http://schemas.openxmlformats.org/officeDocument/2006/relationships/hyperlink" Target="https://climbinggymheaven.com/product/roraima/" TargetMode="External"/><Relationship Id="rId24" Type="http://schemas.openxmlformats.org/officeDocument/2006/relationships/hyperlink" Target="https://climbinggymheaven.com/product/epic/" TargetMode="External"/><Relationship Id="rId32" Type="http://schemas.openxmlformats.org/officeDocument/2006/relationships/hyperlink" Target="https://climbinggymheaven.com/product/rodeo-large/" TargetMode="External"/><Relationship Id="rId37" Type="http://schemas.openxmlformats.org/officeDocument/2006/relationships/hyperlink" Target="https://climbinggymheaven.com/product/cheese-medium2/" TargetMode="External"/><Relationship Id="rId40" Type="http://schemas.openxmlformats.org/officeDocument/2006/relationships/hyperlink" Target="https://climbinggymheaven.com/product/tris-small/" TargetMode="External"/><Relationship Id="rId45" Type="http://schemas.openxmlformats.org/officeDocument/2006/relationships/hyperlink" Target="https://climbinggymheaven.com/product/lotos/" TargetMode="External"/><Relationship Id="rId53" Type="http://schemas.openxmlformats.org/officeDocument/2006/relationships/hyperlink" Target="https://climbinggymheaven.com/product/cocoon-slim-1/" TargetMode="External"/><Relationship Id="rId58" Type="http://schemas.openxmlformats.org/officeDocument/2006/relationships/hyperlink" Target="https://climbinggymheaven.com/product/large-slice-right-3/" TargetMode="External"/><Relationship Id="rId5" Type="http://schemas.openxmlformats.org/officeDocument/2006/relationships/hyperlink" Target="https://climbinggymheaven.com/product/nunatak/" TargetMode="External"/><Relationship Id="rId61" Type="http://schemas.openxmlformats.org/officeDocument/2006/relationships/printerSettings" Target="../printerSettings/printerSettings8.bin"/><Relationship Id="rId19" Type="http://schemas.openxmlformats.org/officeDocument/2006/relationships/hyperlink" Target="https://climbinggymheaven.com/product/safety-first/" TargetMode="External"/><Relationship Id="rId14" Type="http://schemas.openxmlformats.org/officeDocument/2006/relationships/hyperlink" Target="https://climbinggymheaven.com/product/screamer/" TargetMode="External"/><Relationship Id="rId22" Type="http://schemas.openxmlformats.org/officeDocument/2006/relationships/hyperlink" Target="https://climbinggymheaven.com/product/cheops/" TargetMode="External"/><Relationship Id="rId27" Type="http://schemas.openxmlformats.org/officeDocument/2006/relationships/hyperlink" Target="https://climbinggymheaven.com/product/shield/" TargetMode="External"/><Relationship Id="rId30" Type="http://schemas.openxmlformats.org/officeDocument/2006/relationships/hyperlink" Target="https://climbinggymheaven.com/product/blister/" TargetMode="External"/><Relationship Id="rId35" Type="http://schemas.openxmlformats.org/officeDocument/2006/relationships/hyperlink" Target="https://climbinggymheaven.com/product/cheese-large/" TargetMode="External"/><Relationship Id="rId43" Type="http://schemas.openxmlformats.org/officeDocument/2006/relationships/hyperlink" Target="https://climbinggymheaven.com/product/rosetta/" TargetMode="External"/><Relationship Id="rId48" Type="http://schemas.openxmlformats.org/officeDocument/2006/relationships/hyperlink" Target="https://climbinggymheaven.com/product/mosquito/" TargetMode="External"/><Relationship Id="rId56" Type="http://schemas.openxmlformats.org/officeDocument/2006/relationships/hyperlink" Target="https://climbinggymheaven.com/product/cocoon-fat-1/" TargetMode="External"/><Relationship Id="rId8" Type="http://schemas.openxmlformats.org/officeDocument/2006/relationships/hyperlink" Target="https://climbinggymheaven.com/product/spitzkoppe/" TargetMode="External"/><Relationship Id="rId51" Type="http://schemas.openxmlformats.org/officeDocument/2006/relationships/hyperlink" Target="https://climbinggymheaven.com/product/right-arrow/" TargetMode="External"/><Relationship Id="rId3" Type="http://schemas.openxmlformats.org/officeDocument/2006/relationships/hyperlink" Target="https://climbinggymheaven.com/product/tornado/" TargetMode="External"/><Relationship Id="rId12" Type="http://schemas.openxmlformats.org/officeDocument/2006/relationships/hyperlink" Target="https://climbinggymheaven.com/product/manta-left/" TargetMode="External"/><Relationship Id="rId17" Type="http://schemas.openxmlformats.org/officeDocument/2006/relationships/hyperlink" Target="https://climbinggymheaven.com/product/allez/" TargetMode="External"/><Relationship Id="rId25" Type="http://schemas.openxmlformats.org/officeDocument/2006/relationships/hyperlink" Target="https://climbinggymheaven.com/product/butterfly/" TargetMode="External"/><Relationship Id="rId33" Type="http://schemas.openxmlformats.org/officeDocument/2006/relationships/hyperlink" Target="https://climbinggymheaven.com/product/rodeo-xl/" TargetMode="External"/><Relationship Id="rId38" Type="http://schemas.openxmlformats.org/officeDocument/2006/relationships/hyperlink" Target="https://climbinggymheaven.com/product/tris-large/" TargetMode="External"/><Relationship Id="rId46" Type="http://schemas.openxmlformats.org/officeDocument/2006/relationships/hyperlink" Target="https://climbinggymheaven.com/product/superstar-comp/" TargetMode="External"/><Relationship Id="rId59" Type="http://schemas.openxmlformats.org/officeDocument/2006/relationships/hyperlink" Target="https://climbinggymheaven.com/product/wing/" TargetMode="External"/><Relationship Id="rId20" Type="http://schemas.openxmlformats.org/officeDocument/2006/relationships/hyperlink" Target="https://climbinggymheaven.com/product/isis/" TargetMode="External"/><Relationship Id="rId41" Type="http://schemas.openxmlformats.org/officeDocument/2006/relationships/hyperlink" Target="https://climbinggymheaven.com/product/scorpio/" TargetMode="External"/><Relationship Id="rId54" Type="http://schemas.openxmlformats.org/officeDocument/2006/relationships/hyperlink" Target="https://climbinggymheaven.com/product/small-slice-left-2/" TargetMode="External"/><Relationship Id="rId62" Type="http://schemas.openxmlformats.org/officeDocument/2006/relationships/drawing" Target="../drawings/drawing8.xml"/><Relationship Id="rId1" Type="http://schemas.openxmlformats.org/officeDocument/2006/relationships/hyperlink" Target="https://climbinggymheaven.com/product/crux-2/" TargetMode="External"/><Relationship Id="rId6" Type="http://schemas.openxmlformats.org/officeDocument/2006/relationships/hyperlink" Target="https://climbinggymheaven.com/product/iceberg/" TargetMode="External"/><Relationship Id="rId15" Type="http://schemas.openxmlformats.org/officeDocument/2006/relationships/hyperlink" Target="https://climbinggymheaven.com/product/comet/" TargetMode="External"/><Relationship Id="rId23" Type="http://schemas.openxmlformats.org/officeDocument/2006/relationships/hyperlink" Target="https://climbinggymheaven.com/product/dynamic/" TargetMode="External"/><Relationship Id="rId28" Type="http://schemas.openxmlformats.org/officeDocument/2006/relationships/hyperlink" Target="https://climbinggymheaven.com/product/kite/" TargetMode="External"/><Relationship Id="rId36" Type="http://schemas.openxmlformats.org/officeDocument/2006/relationships/hyperlink" Target="https://climbinggymheaven.com/product/cheese-medium1/" TargetMode="External"/><Relationship Id="rId49" Type="http://schemas.openxmlformats.org/officeDocument/2006/relationships/hyperlink" Target="https://climbinggymheaven.com/product/hook/" TargetMode="External"/><Relationship Id="rId57" Type="http://schemas.openxmlformats.org/officeDocument/2006/relationships/hyperlink" Target="https://climbinggymheaven.com/product/large-slice-left-2/" TargetMode="External"/><Relationship Id="rId10" Type="http://schemas.openxmlformats.org/officeDocument/2006/relationships/hyperlink" Target="https://climbinggymheaven.com/product/table-mountain/" TargetMode="External"/><Relationship Id="rId31" Type="http://schemas.openxmlformats.org/officeDocument/2006/relationships/hyperlink" Target="https://climbinggymheaven.com/product/rodeo-small/" TargetMode="External"/><Relationship Id="rId44" Type="http://schemas.openxmlformats.org/officeDocument/2006/relationships/hyperlink" Target="https://climbinggymheaven.com/product/pentagon-comp/" TargetMode="External"/><Relationship Id="rId52" Type="http://schemas.openxmlformats.org/officeDocument/2006/relationships/hyperlink" Target="https://climbinggymheaven.com/product/left-arrow/" TargetMode="External"/><Relationship Id="rId60" Type="http://schemas.openxmlformats.org/officeDocument/2006/relationships/hyperlink" Target="https://climbinggymheaven.com/product/coordination-pack/" TargetMode="External"/><Relationship Id="rId4" Type="http://schemas.openxmlformats.org/officeDocument/2006/relationships/hyperlink" Target="https://climbinggymheaven.com/product/storm/" TargetMode="External"/><Relationship Id="rId9" Type="http://schemas.openxmlformats.org/officeDocument/2006/relationships/hyperlink" Target="https://climbinggymheaven.com/product/runout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climbinggymheaven.com/product/shards-cwl-01-13/" TargetMode="External"/><Relationship Id="rId13" Type="http://schemas.openxmlformats.org/officeDocument/2006/relationships/hyperlink" Target="https://climbinggymheaven.com/product/coffee-jugs-cwl-01-08/" TargetMode="External"/><Relationship Id="rId18" Type="http://schemas.openxmlformats.org/officeDocument/2006/relationships/hyperlink" Target="https://climbinggymheaven.com/product/old-pots-cwl-01-14/" TargetMode="External"/><Relationship Id="rId3" Type="http://schemas.openxmlformats.org/officeDocument/2006/relationships/hyperlink" Target="https://climbinggymheaven.com/product/pickpockets-cwl-01-07/" TargetMode="External"/><Relationship Id="rId21" Type="http://schemas.openxmlformats.org/officeDocument/2006/relationships/drawing" Target="../drawings/drawing9.xml"/><Relationship Id="rId7" Type="http://schemas.openxmlformats.org/officeDocument/2006/relationships/hyperlink" Target="https://climbinggymheaven.com/product/lonely-boulders/" TargetMode="External"/><Relationship Id="rId12" Type="http://schemas.openxmlformats.org/officeDocument/2006/relationships/hyperlink" Target="https://climbinggymheaven.com/product/tea-cups-cwl-01-06/" TargetMode="External"/><Relationship Id="rId17" Type="http://schemas.openxmlformats.org/officeDocument/2006/relationships/hyperlink" Target="https://climbinggymheaven.com/?s=CWL.01&amp;post_type=product" TargetMode="External"/><Relationship Id="rId2" Type="http://schemas.openxmlformats.org/officeDocument/2006/relationships/hyperlink" Target="https://climbinggymheaven.com/product/limestone-flakes/" TargetMode="External"/><Relationship Id="rId16" Type="http://schemas.openxmlformats.org/officeDocument/2006/relationships/hyperlink" Target="https://climbinggymheaven.com/?s=CWL.01&amp;post_type=product" TargetMode="External"/><Relationship Id="rId20" Type="http://schemas.openxmlformats.org/officeDocument/2006/relationships/printerSettings" Target="../printerSettings/printerSettings9.bin"/><Relationship Id="rId1" Type="http://schemas.openxmlformats.org/officeDocument/2006/relationships/hyperlink" Target="https://climbinggymheaven.com/product/sponges/" TargetMode="External"/><Relationship Id="rId6" Type="http://schemas.openxmlformats.org/officeDocument/2006/relationships/hyperlink" Target="https://climbinggymheaven.com/product/old-pots-cwl-01-14/" TargetMode="External"/><Relationship Id="rId11" Type="http://schemas.openxmlformats.org/officeDocument/2006/relationships/hyperlink" Target="https://climbinggymheaven.com/product/cookie-jars-cwl-01-03/" TargetMode="External"/><Relationship Id="rId5" Type="http://schemas.openxmlformats.org/officeDocument/2006/relationships/hyperlink" Target="https://climbinggymheaven.com/product/broken-pebbles-cwl-01-12/" TargetMode="External"/><Relationship Id="rId15" Type="http://schemas.openxmlformats.org/officeDocument/2006/relationships/hyperlink" Target="https://climbinggymheaven.com/product/old-pots-cwl-01-14/" TargetMode="External"/><Relationship Id="rId10" Type="http://schemas.openxmlformats.org/officeDocument/2006/relationships/hyperlink" Target="https://climbinggymheaven.com/product/limestone-mushrooms-cwl-01-02/" TargetMode="External"/><Relationship Id="rId19" Type="http://schemas.openxmlformats.org/officeDocument/2006/relationships/hyperlink" Target="https://climbinggymheaven.com/?s=CWL.01&amp;post_type=product" TargetMode="External"/><Relationship Id="rId4" Type="http://schemas.openxmlformats.org/officeDocument/2006/relationships/hyperlink" Target="https://climbinggymheaven.com/product/footprints-cwl-01-10/" TargetMode="External"/><Relationship Id="rId9" Type="http://schemas.openxmlformats.org/officeDocument/2006/relationships/hyperlink" Target="https://climbinggymheaven.com/product/dough-jugs-cwl-01-01/" TargetMode="External"/><Relationship Id="rId14" Type="http://schemas.openxmlformats.org/officeDocument/2006/relationships/hyperlink" Target="https://climbinggymheaven.com/product/amforas-cwl-01-11/" TargetMode="External"/><Relationship Id="rId22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1D73-E184-4254-8F52-FB09307EBE32}">
  <sheetPr codeName="Sheet1">
    <tabColor theme="1" tint="4.9989318521683403E-2"/>
  </sheetPr>
  <dimension ref="A1:AC99"/>
  <sheetViews>
    <sheetView zoomScale="85" zoomScaleNormal="85" workbookViewId="0">
      <selection activeCell="K20" sqref="K20"/>
    </sheetView>
  </sheetViews>
  <sheetFormatPr defaultRowHeight="15" customHeight="1" x14ac:dyDescent="0.25"/>
  <cols>
    <col min="1" max="1" width="36.42578125" customWidth="1"/>
    <col min="3" max="3" width="35.5703125" bestFit="1" customWidth="1"/>
    <col min="5" max="5" width="13.5703125" customWidth="1"/>
    <col min="6" max="6" width="19.140625" customWidth="1"/>
    <col min="7" max="7" width="24.5703125" bestFit="1" customWidth="1"/>
    <col min="8" max="8" width="10.140625" customWidth="1"/>
    <col min="9" max="10" width="10.5703125" customWidth="1"/>
    <col min="19" max="19" width="14" hidden="1" customWidth="1"/>
    <col min="20" max="25" width="9.42578125" customWidth="1"/>
  </cols>
  <sheetData>
    <row r="1" spans="1:28" ht="15" customHeight="1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</row>
    <row r="2" spans="1:28" ht="15" customHeight="1" x14ac:dyDescent="0.2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</row>
    <row r="3" spans="1:28" ht="15" customHeight="1" x14ac:dyDescent="0.2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</row>
    <row r="4" spans="1:28" ht="15" customHeight="1" x14ac:dyDescent="0.25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</row>
    <row r="5" spans="1:28" ht="15" customHeight="1" x14ac:dyDescent="0.25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</row>
    <row r="6" spans="1:28" ht="15" customHeight="1" x14ac:dyDescent="0.25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</row>
    <row r="7" spans="1:28" ht="15" customHeight="1" x14ac:dyDescent="0.25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</row>
    <row r="8" spans="1:28" ht="15" customHeight="1" x14ac:dyDescent="0.25">
      <c r="A8" s="84"/>
      <c r="B8" s="84"/>
      <c r="C8" s="84"/>
      <c r="D8" s="84"/>
      <c r="E8" s="84"/>
      <c r="F8" s="84"/>
      <c r="G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</row>
    <row r="9" spans="1:28" ht="15" customHeight="1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</row>
    <row r="10" spans="1:28" ht="15" customHeight="1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</row>
    <row r="11" spans="1:28" ht="15" customHeight="1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</row>
    <row r="12" spans="1:28" ht="15" customHeight="1" x14ac:dyDescent="0.25">
      <c r="A12" s="256"/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84"/>
      <c r="AA12" s="84"/>
      <c r="AB12" s="84"/>
    </row>
    <row r="13" spans="1:28" ht="15" customHeight="1" thickBot="1" x14ac:dyDescent="0.3">
      <c r="A13" s="257" t="s">
        <v>1762</v>
      </c>
      <c r="B13" s="256"/>
      <c r="C13" s="258" t="s">
        <v>16</v>
      </c>
      <c r="D13" s="256"/>
      <c r="E13" s="256"/>
      <c r="F13" s="259"/>
      <c r="G13" s="259"/>
      <c r="H13" s="260"/>
      <c r="I13" s="260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84"/>
      <c r="AA13" s="84"/>
      <c r="AB13" s="84"/>
    </row>
    <row r="14" spans="1:28" ht="15" customHeight="1" thickBot="1" x14ac:dyDescent="0.3">
      <c r="A14" s="257" t="s">
        <v>914</v>
      </c>
      <c r="B14" s="256"/>
      <c r="C14" s="538"/>
      <c r="D14" s="539"/>
      <c r="E14" s="539"/>
      <c r="F14" s="540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84"/>
      <c r="AA14" s="84"/>
      <c r="AB14" s="84"/>
    </row>
    <row r="15" spans="1:28" ht="15" customHeight="1" thickBot="1" x14ac:dyDescent="0.3">
      <c r="A15" s="258" t="s">
        <v>915</v>
      </c>
      <c r="B15" s="256"/>
      <c r="C15" s="258" t="s">
        <v>17</v>
      </c>
      <c r="D15" s="259"/>
      <c r="E15" s="260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84"/>
      <c r="AA15" s="84"/>
      <c r="AB15" s="84"/>
    </row>
    <row r="16" spans="1:28" ht="15" customHeight="1" thickBot="1" x14ac:dyDescent="0.3">
      <c r="A16" s="261" t="s">
        <v>916</v>
      </c>
      <c r="B16" s="256"/>
      <c r="C16" s="538"/>
      <c r="D16" s="539"/>
      <c r="E16" s="539"/>
      <c r="F16" s="540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84"/>
      <c r="AA16" s="84"/>
      <c r="AB16" s="84"/>
    </row>
    <row r="17" spans="1:28" ht="15" customHeight="1" thickBot="1" x14ac:dyDescent="0.3">
      <c r="A17" s="258" t="s">
        <v>917</v>
      </c>
      <c r="B17" s="256"/>
      <c r="C17" s="258" t="s">
        <v>918</v>
      </c>
      <c r="D17" s="259"/>
      <c r="E17" s="260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84"/>
      <c r="AA17" s="84"/>
      <c r="AB17" s="84"/>
    </row>
    <row r="18" spans="1:28" ht="15" customHeight="1" x14ac:dyDescent="0.25">
      <c r="A18" s="258"/>
      <c r="B18" s="256"/>
      <c r="C18" s="541"/>
      <c r="D18" s="542"/>
      <c r="E18" s="542"/>
      <c r="F18" s="543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84"/>
      <c r="AA18" s="84"/>
      <c r="AB18" s="84"/>
    </row>
    <row r="19" spans="1:28" ht="15" customHeight="1" thickBot="1" x14ac:dyDescent="0.3">
      <c r="A19" s="258" t="s">
        <v>1763</v>
      </c>
      <c r="B19" s="256"/>
      <c r="C19" s="544"/>
      <c r="D19" s="545"/>
      <c r="E19" s="545"/>
      <c r="F19" s="54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84"/>
      <c r="AA19" s="84"/>
      <c r="AB19" s="84"/>
    </row>
    <row r="20" spans="1:28" ht="15" customHeight="1" x14ac:dyDescent="0.25">
      <c r="A20" s="258" t="s">
        <v>919</v>
      </c>
      <c r="B20" s="256"/>
      <c r="C20" s="256"/>
      <c r="D20" s="256"/>
      <c r="E20" s="259"/>
      <c r="F20" s="259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84"/>
      <c r="AA20" s="84"/>
      <c r="AB20" s="84"/>
    </row>
    <row r="21" spans="1:28" ht="15" customHeight="1" x14ac:dyDescent="0.25">
      <c r="A21" s="258" t="s">
        <v>920</v>
      </c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84"/>
      <c r="AA21" s="84"/>
      <c r="AB21" s="84"/>
    </row>
    <row r="22" spans="1:28" ht="15" customHeight="1" thickBot="1" x14ac:dyDescent="0.3">
      <c r="A22" s="258" t="s">
        <v>921</v>
      </c>
      <c r="B22" s="256"/>
      <c r="C22" s="262" t="s">
        <v>925</v>
      </c>
      <c r="D22" s="263" t="s">
        <v>1407</v>
      </c>
      <c r="E22" s="262" t="s">
        <v>3</v>
      </c>
      <c r="F22" s="262" t="s">
        <v>922</v>
      </c>
      <c r="G22" s="264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84"/>
      <c r="AA22" s="84"/>
      <c r="AB22" s="84"/>
    </row>
    <row r="23" spans="1:28" ht="15" hidden="1" customHeight="1" x14ac:dyDescent="0.25">
      <c r="A23" s="258"/>
      <c r="B23" s="256"/>
      <c r="C23" s="117" t="s">
        <v>923</v>
      </c>
      <c r="D23" s="118">
        <f>SUM(Tabela1[SETS])</f>
        <v>0</v>
      </c>
      <c r="E23" s="119">
        <f>SUM(Tabela1[SUM Weight  (kg)])</f>
        <v>0</v>
      </c>
      <c r="F23" s="120">
        <f>SUM(Tabela1[TOTAL PRICE])</f>
        <v>0</v>
      </c>
      <c r="G23" s="120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84"/>
      <c r="AA23" s="84"/>
      <c r="AB23" s="84"/>
    </row>
    <row r="24" spans="1:28" ht="15" hidden="1" customHeight="1" x14ac:dyDescent="0.25">
      <c r="A24" s="258"/>
      <c r="B24" s="256"/>
      <c r="C24" s="117" t="s">
        <v>924</v>
      </c>
      <c r="D24" s="118">
        <f>SUM(Tabela13[SETS])</f>
        <v>0</v>
      </c>
      <c r="E24" s="119">
        <f>SUM(Tabela13[SUM Weight  (kg)])</f>
        <v>0</v>
      </c>
      <c r="F24" s="120">
        <f>SUM(Tabela13[TOTAL PRICE])</f>
        <v>0</v>
      </c>
      <c r="G24" s="120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84"/>
      <c r="AA24" s="84"/>
      <c r="AB24" s="84"/>
    </row>
    <row r="25" spans="1:28" ht="15" customHeight="1" x14ac:dyDescent="0.25">
      <c r="A25" s="259"/>
      <c r="B25" s="256"/>
      <c r="C25" s="121" t="s">
        <v>1204</v>
      </c>
      <c r="D25" s="118">
        <f>SUM('ILW_Ilusion Wood'!E4:F4)</f>
        <v>0</v>
      </c>
      <c r="E25" s="119">
        <f>SUM('ILW_Ilusion Wood'!P9:P134)</f>
        <v>0</v>
      </c>
      <c r="F25" s="513">
        <f>SUM('ILW_Ilusion Wood'!N9:N134)</f>
        <v>0</v>
      </c>
      <c r="G25" s="120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84"/>
      <c r="AA25" s="84"/>
      <c r="AB25" s="84"/>
    </row>
    <row r="26" spans="1:28" ht="15" customHeight="1" x14ac:dyDescent="0.25">
      <c r="A26" s="265"/>
      <c r="B26" s="256"/>
      <c r="C26" s="121" t="s">
        <v>1205</v>
      </c>
      <c r="D26" s="118">
        <f>SUM('ILM_Ilusion Macros'!E4:F4)</f>
        <v>0</v>
      </c>
      <c r="E26" s="119">
        <f>SUM('ILM_Ilusion Macros'!P9:P182)</f>
        <v>0</v>
      </c>
      <c r="F26" s="513">
        <f>SUM(Tabela1345[TOTAL PRICE])</f>
        <v>0</v>
      </c>
      <c r="G26" s="120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84"/>
      <c r="AA26" s="84"/>
      <c r="AB26" s="84"/>
    </row>
    <row r="27" spans="1:28" ht="15" customHeight="1" x14ac:dyDescent="0.25">
      <c r="A27" s="259"/>
      <c r="B27" s="256"/>
      <c r="C27" s="117" t="s">
        <v>1368</v>
      </c>
      <c r="D27" s="118">
        <f>SUM('INW_Infinity Wood'!E4:F4)</f>
        <v>0</v>
      </c>
      <c r="E27" s="119">
        <f>SUM('INW_Infinity Wood'!R9:R58)</f>
        <v>0</v>
      </c>
      <c r="F27" s="513">
        <f>SUM('INW_Infinity Wood'!P9:P125)</f>
        <v>0</v>
      </c>
      <c r="G27" s="120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84"/>
      <c r="AA27" s="84"/>
      <c r="AB27" s="84"/>
    </row>
    <row r="28" spans="1:28" ht="15.75" x14ac:dyDescent="0.25">
      <c r="A28" s="256"/>
      <c r="B28" s="256"/>
      <c r="C28" s="117" t="s">
        <v>1504</v>
      </c>
      <c r="D28" s="118">
        <f>SUM('INH_Infinity Holds'!D4:E4)</f>
        <v>0</v>
      </c>
      <c r="E28" s="119">
        <f>SUM('INH_Infinity Holds'!Q12:Q113)</f>
        <v>0</v>
      </c>
      <c r="F28" s="513">
        <f>'INH_Infinity Holds'!D3</f>
        <v>0</v>
      </c>
      <c r="G28" s="120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84"/>
      <c r="AA28" s="84"/>
      <c r="AB28" s="84"/>
    </row>
    <row r="29" spans="1:28" ht="15.75" x14ac:dyDescent="0.25">
      <c r="A29" s="256"/>
      <c r="B29" s="256"/>
      <c r="C29" s="117" t="s">
        <v>1206</v>
      </c>
      <c r="D29" s="118">
        <f>SUM('CW_Climb1 Wood'!E4:F4)</f>
        <v>0</v>
      </c>
      <c r="E29" s="119">
        <f>SUM('CW_Climb1 Wood'!P9:P77)</f>
        <v>0</v>
      </c>
      <c r="F29" s="513">
        <f>SUM(Tabela17[TOTAL PRICE])</f>
        <v>0</v>
      </c>
      <c r="G29" s="120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84"/>
      <c r="AA29" s="84"/>
      <c r="AB29" s="84"/>
    </row>
    <row r="30" spans="1:28" ht="15.75" x14ac:dyDescent="0.25">
      <c r="A30" s="256"/>
      <c r="B30" s="256"/>
      <c r="C30" s="117" t="s">
        <v>1207</v>
      </c>
      <c r="D30" s="118">
        <f>SUM('CWL_Climb Well Line'!E4:F4)</f>
        <v>0</v>
      </c>
      <c r="E30" s="119">
        <f>SUM(Tabela1369[SUM Weight  (kg)])</f>
        <v>0</v>
      </c>
      <c r="F30" s="513">
        <f>SUM(Tabela1369[TOTAL PRICE])</f>
        <v>0</v>
      </c>
      <c r="G30" s="120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84"/>
      <c r="AA30" s="84"/>
      <c r="AB30" s="84"/>
    </row>
    <row r="31" spans="1:28" ht="15" customHeight="1" x14ac:dyDescent="0.25">
      <c r="A31" s="256"/>
      <c r="B31" s="256"/>
      <c r="C31" s="266" t="s">
        <v>1208</v>
      </c>
      <c r="D31" s="267">
        <f>SUM('KL_Kidz Line'!E4:F4)</f>
        <v>0</v>
      </c>
      <c r="E31" s="268">
        <f>SUM(Tabela136910[SUM Weight  (kg)])</f>
        <v>0</v>
      </c>
      <c r="F31" s="514">
        <f>SUM(Tabela136910[TOTAL PRICE])</f>
        <v>0</v>
      </c>
      <c r="G31" s="120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84"/>
      <c r="AA31" s="84"/>
      <c r="AB31" s="84"/>
    </row>
    <row r="32" spans="1:28" ht="15" customHeight="1" thickBot="1" x14ac:dyDescent="0.3">
      <c r="A32" s="256"/>
      <c r="B32" s="256"/>
      <c r="C32" s="117" t="s">
        <v>1370</v>
      </c>
      <c r="D32" s="269">
        <f>SUM(D23:D31)</f>
        <v>0</v>
      </c>
      <c r="E32" s="270">
        <f>SUM(E23:E31)</f>
        <v>0</v>
      </c>
      <c r="F32" s="515">
        <f>SUM(F23:F31)</f>
        <v>0</v>
      </c>
      <c r="G32" s="271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84"/>
      <c r="AA32" s="84"/>
      <c r="AB32" s="84"/>
    </row>
    <row r="33" spans="1:28" ht="15" customHeight="1" thickBot="1" x14ac:dyDescent="0.3">
      <c r="A33" s="256"/>
      <c r="B33" s="256"/>
      <c r="C33" s="272" t="s">
        <v>1795</v>
      </c>
      <c r="D33" s="273"/>
      <c r="E33" s="333"/>
      <c r="F33" s="516">
        <f>F32*E33</f>
        <v>0</v>
      </c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84"/>
      <c r="AA33" s="84"/>
      <c r="AB33" s="84"/>
    </row>
    <row r="34" spans="1:28" ht="15" customHeight="1" thickTop="1" thickBot="1" x14ac:dyDescent="0.3">
      <c r="A34" s="256"/>
      <c r="B34" s="256"/>
      <c r="C34" s="274" t="s">
        <v>1337</v>
      </c>
      <c r="D34" s="275"/>
      <c r="E34" s="276"/>
      <c r="F34" s="526">
        <f>F32-F33</f>
        <v>0</v>
      </c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84"/>
      <c r="AA34" s="84"/>
      <c r="AB34" s="84"/>
    </row>
    <row r="35" spans="1:28" ht="15" customHeight="1" thickTop="1" x14ac:dyDescent="0.25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84"/>
      <c r="AA35" s="84"/>
      <c r="AB35" s="84"/>
    </row>
    <row r="36" spans="1:28" ht="15" customHeight="1" x14ac:dyDescent="0.25">
      <c r="A36" s="256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84"/>
      <c r="AA36" s="84"/>
      <c r="AB36" s="84"/>
    </row>
    <row r="37" spans="1:28" ht="15" customHeight="1" x14ac:dyDescent="0.25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84"/>
      <c r="AA37" s="84"/>
      <c r="AB37" s="84"/>
    </row>
    <row r="38" spans="1:28" ht="15" customHeight="1" x14ac:dyDescent="0.25">
      <c r="A38" s="256"/>
      <c r="B38" s="256"/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84"/>
      <c r="AA38" s="84"/>
      <c r="AB38" s="84"/>
    </row>
    <row r="39" spans="1:28" ht="15" customHeight="1" x14ac:dyDescent="0.25">
      <c r="A39" s="256"/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84"/>
      <c r="AA39" s="84"/>
      <c r="AB39" s="84"/>
    </row>
    <row r="40" spans="1:28" ht="25.5" x14ac:dyDescent="0.35">
      <c r="A40" s="277" t="s">
        <v>1216</v>
      </c>
      <c r="B40" s="256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84"/>
      <c r="AA40" s="84"/>
      <c r="AB40" s="84"/>
    </row>
    <row r="41" spans="1:28" ht="15" customHeight="1" thickBot="1" x14ac:dyDescent="0.3">
      <c r="A41" s="256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84"/>
      <c r="AA41" s="84"/>
      <c r="AB41" s="84"/>
    </row>
    <row r="42" spans="1:28" ht="34.5" thickBot="1" x14ac:dyDescent="0.3">
      <c r="A42" s="258" t="s">
        <v>1369</v>
      </c>
      <c r="B42" s="256"/>
      <c r="C42" s="278"/>
      <c r="D42" s="256"/>
      <c r="E42" s="256"/>
      <c r="F42" s="256"/>
      <c r="G42" s="279" t="s">
        <v>1761</v>
      </c>
      <c r="H42" s="280" t="s">
        <v>1215</v>
      </c>
      <c r="I42" s="281" t="s">
        <v>657</v>
      </c>
      <c r="J42" s="282" t="s">
        <v>84</v>
      </c>
      <c r="K42" s="282" t="s">
        <v>14</v>
      </c>
      <c r="L42" s="282" t="s">
        <v>926</v>
      </c>
      <c r="M42" s="282" t="s">
        <v>5</v>
      </c>
      <c r="N42" s="282" t="s">
        <v>6</v>
      </c>
      <c r="O42" s="282" t="s">
        <v>7</v>
      </c>
      <c r="P42" s="282" t="s">
        <v>927</v>
      </c>
      <c r="Q42" s="282" t="s">
        <v>198</v>
      </c>
      <c r="R42" s="282" t="s">
        <v>8</v>
      </c>
      <c r="S42" s="283" t="s">
        <v>1276</v>
      </c>
      <c r="T42" s="284" t="s">
        <v>1759</v>
      </c>
      <c r="U42" s="284" t="s">
        <v>1755</v>
      </c>
      <c r="V42" s="284" t="s">
        <v>1760</v>
      </c>
      <c r="W42" s="284" t="s">
        <v>1758</v>
      </c>
      <c r="X42" s="284" t="s">
        <v>1797</v>
      </c>
      <c r="Y42" s="84"/>
      <c r="Z42" s="84"/>
      <c r="AA42" s="84"/>
    </row>
    <row r="43" spans="1:28" ht="15" customHeight="1" thickBot="1" x14ac:dyDescent="0.3">
      <c r="A43" s="285" t="s">
        <v>1338</v>
      </c>
      <c r="B43" s="286" cm="1">
        <f t="array" ref="B43:C43">'INW_Infinity Wood'!E4:F4+'CW_Climb1 Wood'!E4:F4+'ILW_Ilusion Wood'!E4:F4</f>
        <v>0</v>
      </c>
      <c r="C43" s="278">
        <v>0</v>
      </c>
      <c r="D43" s="256"/>
      <c r="E43" s="256"/>
      <c r="F43" s="256"/>
      <c r="G43" s="287" t="s">
        <v>1204</v>
      </c>
      <c r="H43" s="288">
        <f>SUM(I43:X43)</f>
        <v>0</v>
      </c>
      <c r="I43" s="481">
        <f>'ILW_Ilusion Wood'!R4</f>
        <v>0</v>
      </c>
      <c r="J43" s="488">
        <f>'ILW_Ilusion Wood'!S4</f>
        <v>0</v>
      </c>
      <c r="K43" s="471">
        <f>'ILW_Ilusion Wood'!T4</f>
        <v>0</v>
      </c>
      <c r="L43" s="443">
        <f>'ILW_Ilusion Wood'!U4</f>
        <v>0</v>
      </c>
      <c r="M43" s="473">
        <f>'ILW_Ilusion Wood'!V4</f>
        <v>0</v>
      </c>
      <c r="N43" s="474">
        <f>'ILW_Ilusion Wood'!W4</f>
        <v>0</v>
      </c>
      <c r="O43" s="446">
        <f>'ILW_Ilusion Wood'!X4</f>
        <v>0</v>
      </c>
      <c r="P43" s="475">
        <f>'ILW_Ilusion Wood'!Y4</f>
        <v>0</v>
      </c>
      <c r="Q43" s="476">
        <f>'ILW_Ilusion Wood'!Z4</f>
        <v>0</v>
      </c>
      <c r="R43" s="448">
        <f>'ILW_Ilusion Wood'!AA4</f>
        <v>0</v>
      </c>
      <c r="S43" s="517">
        <f>'ILW_Ilusion Wood'!AD4</f>
        <v>0</v>
      </c>
      <c r="T43" s="221"/>
      <c r="U43" s="221"/>
      <c r="V43" s="221"/>
      <c r="W43" s="221"/>
      <c r="X43" s="518">
        <f>SUM('ILW_Ilusion Wood'!AB4)</f>
        <v>0</v>
      </c>
      <c r="Y43" s="84"/>
      <c r="Z43" s="84"/>
      <c r="AA43" s="84"/>
    </row>
    <row r="44" spans="1:28" ht="15" customHeight="1" thickBot="1" x14ac:dyDescent="0.3">
      <c r="A44" s="290" t="s">
        <v>1339</v>
      </c>
      <c r="B44" s="286" cm="1">
        <f t="array" ref="B44:C44">'ILM_Ilusion Macros'!E4:F4</f>
        <v>0</v>
      </c>
      <c r="C44" s="278">
        <v>0</v>
      </c>
      <c r="D44" s="256"/>
      <c r="E44" s="256"/>
      <c r="F44" s="256"/>
      <c r="G44" s="291" t="s">
        <v>1205</v>
      </c>
      <c r="H44" s="288">
        <f>SUM(I44:R44)</f>
        <v>0</v>
      </c>
      <c r="I44" s="481">
        <f>'ILM_Ilusion Macros'!R4</f>
        <v>0</v>
      </c>
      <c r="J44" s="488">
        <f>'ILM_Ilusion Macros'!S4</f>
        <v>0</v>
      </c>
      <c r="K44" s="471">
        <f>'ILM_Ilusion Macros'!T4</f>
        <v>0</v>
      </c>
      <c r="L44" s="443">
        <f>'ILM_Ilusion Macros'!U4</f>
        <v>0</v>
      </c>
      <c r="M44" s="473">
        <f>'ILM_Ilusion Macros'!V4</f>
        <v>0</v>
      </c>
      <c r="N44" s="474">
        <f>'ILM_Ilusion Macros'!W4</f>
        <v>0</v>
      </c>
      <c r="O44" s="446">
        <f>'ILM_Ilusion Macros'!X4</f>
        <v>0</v>
      </c>
      <c r="P44" s="475">
        <f>'ILM_Ilusion Macros'!Y4</f>
        <v>0</v>
      </c>
      <c r="Q44" s="476">
        <f>'ILM_Ilusion Macros'!Z4</f>
        <v>0</v>
      </c>
      <c r="R44" s="448">
        <f>'ILM_Ilusion Macros'!AA4</f>
        <v>0</v>
      </c>
      <c r="S44" s="517">
        <f>'ILM_Ilusion Macros'!AC4</f>
        <v>0</v>
      </c>
      <c r="T44" s="221"/>
      <c r="U44" s="221"/>
      <c r="V44" s="221"/>
      <c r="W44" s="221"/>
      <c r="X44" s="256"/>
      <c r="Y44" s="84"/>
      <c r="Z44" s="84"/>
      <c r="AA44" s="84"/>
    </row>
    <row r="45" spans="1:28" ht="15" customHeight="1" thickBot="1" x14ac:dyDescent="0.3">
      <c r="A45" s="121" t="s">
        <v>1340</v>
      </c>
      <c r="B45" s="292">
        <f>SUM(B47:B54)</f>
        <v>0</v>
      </c>
      <c r="C45" s="278"/>
      <c r="D45" s="256"/>
      <c r="E45" s="256"/>
      <c r="F45" s="256"/>
      <c r="G45" s="291" t="s">
        <v>1368</v>
      </c>
      <c r="H45" s="288">
        <f>SUM(I45:S45)</f>
        <v>0</v>
      </c>
      <c r="I45" s="481">
        <f>'INW_Infinity Wood'!S4</f>
        <v>0</v>
      </c>
      <c r="J45" s="488">
        <f>'INW_Infinity Wood'!T4</f>
        <v>0</v>
      </c>
      <c r="K45" s="471">
        <f>'INW_Infinity Wood'!U4</f>
        <v>0</v>
      </c>
      <c r="L45" s="443">
        <f>'INW_Infinity Wood'!V4</f>
        <v>0</v>
      </c>
      <c r="M45" s="473">
        <f>'INW_Infinity Wood'!W4</f>
        <v>0</v>
      </c>
      <c r="N45" s="474">
        <f>'INW_Infinity Wood'!X4</f>
        <v>0</v>
      </c>
      <c r="O45" s="446">
        <f>'INW_Infinity Wood'!Y4</f>
        <v>0</v>
      </c>
      <c r="P45" s="475">
        <f>'INW_Infinity Wood'!Z4</f>
        <v>0</v>
      </c>
      <c r="Q45" s="476">
        <f>'INW_Infinity Wood'!AA4</f>
        <v>0</v>
      </c>
      <c r="R45" s="448">
        <f>'INW_Infinity Wood'!AB4</f>
        <v>0</v>
      </c>
      <c r="S45" s="517">
        <f>'INW_Infinity Wood'!AD4</f>
        <v>0</v>
      </c>
      <c r="T45" s="221"/>
      <c r="U45" s="221"/>
      <c r="V45" s="221"/>
      <c r="W45" s="221"/>
      <c r="X45" s="265"/>
      <c r="Y45" s="84"/>
      <c r="Z45" s="84"/>
      <c r="AA45" s="84"/>
    </row>
    <row r="46" spans="1:28" ht="15" customHeight="1" thickBot="1" x14ac:dyDescent="0.3">
      <c r="A46" s="317" t="s">
        <v>1341</v>
      </c>
      <c r="B46" s="293"/>
      <c r="C46" s="265"/>
      <c r="D46" s="256"/>
      <c r="E46" s="256"/>
      <c r="F46" s="256"/>
      <c r="G46" s="291" t="s">
        <v>1504</v>
      </c>
      <c r="H46" s="288">
        <f>SUM(I46:S46)+SUM(T46:W46)</f>
        <v>0</v>
      </c>
      <c r="I46" s="481">
        <f>'INH_Infinity Holds'!R4</f>
        <v>0</v>
      </c>
      <c r="J46" s="488">
        <f>'INH_Infinity Holds'!S4</f>
        <v>0</v>
      </c>
      <c r="K46" s="471">
        <f>'INH_Infinity Holds'!T4</f>
        <v>0</v>
      </c>
      <c r="L46" s="443">
        <f>'INH_Infinity Holds'!U4</f>
        <v>0</v>
      </c>
      <c r="M46" s="473">
        <f>'INH_Infinity Holds'!V4</f>
        <v>0</v>
      </c>
      <c r="N46" s="474">
        <f>'INH_Infinity Holds'!W4</f>
        <v>0</v>
      </c>
      <c r="O46" s="446">
        <f>'INH_Infinity Holds'!X4</f>
        <v>0</v>
      </c>
      <c r="P46" s="475">
        <f>'INH_Infinity Holds'!Y4</f>
        <v>0</v>
      </c>
      <c r="Q46" s="476">
        <f>'INH_Infinity Holds'!Z4</f>
        <v>0</v>
      </c>
      <c r="R46" s="448">
        <f>'INH_Infinity Holds'!AA4</f>
        <v>0</v>
      </c>
      <c r="S46" s="289"/>
      <c r="T46" s="519" cm="1">
        <f t="array" ref="T46">SUM('INH_Infinity Holds'!AB12:AB67*'INH_Infinity Holds'!D12:D67)</f>
        <v>0</v>
      </c>
      <c r="U46" s="520" cm="1">
        <f t="array" ref="U46">SUM('INH_Infinity Holds'!AC12:AC67*'INH_Infinity Holds'!D12:D67)</f>
        <v>0</v>
      </c>
      <c r="V46" s="521" cm="1">
        <f t="array" ref="V46">SUM('INH_Infinity Holds'!AD12:AD67*'INH_Infinity Holds'!D12:D67)</f>
        <v>0</v>
      </c>
      <c r="W46" s="522" cm="1">
        <f t="array" ref="W46">SUM('INH_Infinity Holds'!AE12:AE67*'INH_Infinity Holds'!D12:D67)</f>
        <v>0</v>
      </c>
      <c r="X46" s="256"/>
      <c r="Y46" s="84"/>
      <c r="Z46" s="84"/>
      <c r="AA46" s="84"/>
      <c r="AB46" s="84"/>
    </row>
    <row r="47" spans="1:28" ht="15" customHeight="1" thickBot="1" x14ac:dyDescent="0.3">
      <c r="A47" s="317" t="s">
        <v>1505</v>
      </c>
      <c r="B47" s="286">
        <f>'INH_Infinity Holds'!P34+'INH_Infinity Holds'!P37+'INH_Infinity Holds'!P39+'INH_Infinity Holds'!P40</f>
        <v>0</v>
      </c>
      <c r="C47" s="256"/>
      <c r="D47" s="256"/>
      <c r="E47" s="256"/>
      <c r="F47" s="256"/>
      <c r="G47" s="291" t="s">
        <v>1207</v>
      </c>
      <c r="H47" s="288">
        <f>SUM(I47:R47)</f>
        <v>0</v>
      </c>
      <c r="I47" s="481">
        <f>'CWL_Climb Well Line'!S4</f>
        <v>0</v>
      </c>
      <c r="J47" s="488">
        <f>'CWL_Climb Well Line'!T4</f>
        <v>0</v>
      </c>
      <c r="K47" s="471">
        <f>'CWL_Climb Well Line'!U4</f>
        <v>0</v>
      </c>
      <c r="L47" s="443">
        <f>'CWL_Climb Well Line'!V4</f>
        <v>0</v>
      </c>
      <c r="M47" s="473">
        <f>'CWL_Climb Well Line'!W4</f>
        <v>0</v>
      </c>
      <c r="N47" s="474">
        <f>'CWL_Climb Well Line'!X4</f>
        <v>0</v>
      </c>
      <c r="O47" s="446">
        <f>'CWL_Climb Well Line'!Y4</f>
        <v>0</v>
      </c>
      <c r="P47" s="475">
        <f>'CWL_Climb Well Line'!Z4</f>
        <v>0</v>
      </c>
      <c r="Q47" s="476">
        <f>'CWL_Climb Well Line'!AA4</f>
        <v>0</v>
      </c>
      <c r="R47" s="448">
        <f>'CWL_Climb Well Line'!AB4</f>
        <v>0</v>
      </c>
      <c r="S47" s="517">
        <f>'CWL_Climb Well Line'!AC4</f>
        <v>0</v>
      </c>
      <c r="T47" s="221"/>
      <c r="U47" s="221"/>
      <c r="V47" s="221"/>
      <c r="W47" s="221"/>
      <c r="X47" s="256"/>
      <c r="Y47" s="84"/>
      <c r="Z47" s="84"/>
      <c r="AA47" s="84"/>
      <c r="AB47" s="84"/>
    </row>
    <row r="48" spans="1:28" ht="15" customHeight="1" thickBot="1" x14ac:dyDescent="0.3">
      <c r="A48" s="317" t="s">
        <v>1333</v>
      </c>
      <c r="B48" s="286">
        <f>'INH_Infinity Holds'!P35+'INH_Infinity Holds'!P38+'INH_Infinity Holds'!P40+'INH_Infinity Holds'!P41+'INH_Infinity Holds'!P69+'INH_Infinity Holds'!P70</f>
        <v>0</v>
      </c>
      <c r="C48" s="256"/>
      <c r="D48" s="256"/>
      <c r="E48" s="256"/>
      <c r="F48" s="256"/>
      <c r="G48" s="294" t="s">
        <v>1208</v>
      </c>
      <c r="H48" s="288">
        <f>SUM(I48:R48)</f>
        <v>0</v>
      </c>
      <c r="I48" s="481">
        <f>'KL_Kidz Line'!S4</f>
        <v>0</v>
      </c>
      <c r="J48" s="488">
        <f>'KL_Kidz Line'!T4</f>
        <v>0</v>
      </c>
      <c r="K48" s="471">
        <f>'KL_Kidz Line'!U4</f>
        <v>0</v>
      </c>
      <c r="L48" s="443">
        <f>'KL_Kidz Line'!V4</f>
        <v>0</v>
      </c>
      <c r="M48" s="473">
        <f>'KL_Kidz Line'!W4</f>
        <v>0</v>
      </c>
      <c r="N48" s="474">
        <f>'KL_Kidz Line'!X4</f>
        <v>0</v>
      </c>
      <c r="O48" s="446">
        <f>'KL_Kidz Line'!Y4</f>
        <v>0</v>
      </c>
      <c r="P48" s="475">
        <f>'KL_Kidz Line'!Z4</f>
        <v>0</v>
      </c>
      <c r="Q48" s="476">
        <f>'KL_Kidz Line'!AA4</f>
        <v>0</v>
      </c>
      <c r="R48" s="448">
        <f>'KL_Kidz Line'!AB4</f>
        <v>0</v>
      </c>
      <c r="S48" s="523">
        <f>'KL_Kidz Line'!AC4</f>
        <v>0</v>
      </c>
      <c r="T48" s="525"/>
      <c r="U48" s="525"/>
      <c r="V48" s="525"/>
      <c r="W48" s="525"/>
      <c r="X48" s="256"/>
      <c r="Y48" s="84"/>
      <c r="Z48" s="84"/>
      <c r="AA48" s="84"/>
      <c r="AB48" s="84"/>
    </row>
    <row r="49" spans="1:29" ht="15" customHeight="1" thickBot="1" x14ac:dyDescent="0.3">
      <c r="A49" s="317" t="s">
        <v>1334</v>
      </c>
      <c r="B49" s="286">
        <f>'INH_Infinity Holds'!P36+'INH_Infinity Holds'!P39+'INH_Infinity Holds'!P41+'INH_Infinity Holds'!P42</f>
        <v>0</v>
      </c>
      <c r="C49" s="256"/>
      <c r="D49" s="256"/>
      <c r="E49" s="256"/>
      <c r="F49" s="256"/>
      <c r="G49" s="288" t="s">
        <v>1203</v>
      </c>
      <c r="H49" s="295">
        <f t="shared" ref="H49:S49" si="0">SUM(H43:H48)</f>
        <v>0</v>
      </c>
      <c r="I49" s="296">
        <f t="shared" si="0"/>
        <v>0</v>
      </c>
      <c r="J49" s="297">
        <f t="shared" si="0"/>
        <v>0</v>
      </c>
      <c r="K49" s="297">
        <f t="shared" si="0"/>
        <v>0</v>
      </c>
      <c r="L49" s="297">
        <f t="shared" si="0"/>
        <v>0</v>
      </c>
      <c r="M49" s="297">
        <f t="shared" si="0"/>
        <v>0</v>
      </c>
      <c r="N49" s="297">
        <f t="shared" si="0"/>
        <v>0</v>
      </c>
      <c r="O49" s="297">
        <f t="shared" si="0"/>
        <v>0</v>
      </c>
      <c r="P49" s="297">
        <f t="shared" si="0"/>
        <v>0</v>
      </c>
      <c r="Q49" s="297">
        <f t="shared" si="0"/>
        <v>0</v>
      </c>
      <c r="R49" s="297">
        <f t="shared" si="0"/>
        <v>0</v>
      </c>
      <c r="S49" s="298">
        <f t="shared" si="0"/>
        <v>0</v>
      </c>
      <c r="T49" s="524">
        <f>'INH_Infinity Holds'!AB4</f>
        <v>0</v>
      </c>
      <c r="U49" s="524">
        <f>SUM(T43:T48)</f>
        <v>0</v>
      </c>
      <c r="V49" s="524">
        <f>SUM(U43:U48)</f>
        <v>0</v>
      </c>
      <c r="W49" s="524">
        <f>SUM(V43:V48)</f>
        <v>0</v>
      </c>
      <c r="X49" s="298">
        <f>SUM(W43:W48)</f>
        <v>0</v>
      </c>
      <c r="Y49" s="299">
        <f>SUM(X43:X48)</f>
        <v>0</v>
      </c>
      <c r="Z49" s="84"/>
      <c r="AA49" s="84"/>
      <c r="AB49" s="84"/>
      <c r="AC49" s="84"/>
    </row>
    <row r="50" spans="1:29" ht="15" customHeight="1" x14ac:dyDescent="0.25">
      <c r="A50" s="317" t="s">
        <v>1367</v>
      </c>
      <c r="B50" s="286">
        <f>'INH_Infinity Holds'!P37+'INH_Infinity Holds'!P40+'INH_Infinity Holds'!P42+'INH_Infinity Holds'!P43</f>
        <v>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84"/>
      <c r="AA50" s="84"/>
      <c r="AB50" s="84"/>
      <c r="AC50" s="84"/>
    </row>
    <row r="51" spans="1:29" ht="15" customHeight="1" x14ac:dyDescent="0.25">
      <c r="A51" s="317" t="s">
        <v>1335</v>
      </c>
      <c r="B51" s="286">
        <f>'INH_Infinity Holds'!P38+'INH_Infinity Holds'!P41+'INH_Infinity Holds'!P43+'INH_Infinity Holds'!P44+'INH_Infinity Holds'!P71+'INH_Infinity Holds'!P72+'INH_Infinity Holds'!P73+'INH_Infinity Holds'!P74</f>
        <v>0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84"/>
      <c r="AA51" s="84"/>
      <c r="AB51" s="84"/>
      <c r="AC51" s="84"/>
    </row>
    <row r="52" spans="1:29" ht="15" customHeight="1" x14ac:dyDescent="0.25">
      <c r="A52" s="318" t="s">
        <v>1336</v>
      </c>
      <c r="B52" s="286">
        <f>'INH_Infinity Holds'!P39+'INH_Infinity Holds'!P42+'INH_Infinity Holds'!P44+'INH_Infinity Holds'!P45+'INH_Infinity Holds'!P78+'INH_Infinity Holds'!P77+'INH_Infinity Holds'!P76+'INH_Infinity Holds'!P75</f>
        <v>0</v>
      </c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84"/>
      <c r="AA52" s="84"/>
      <c r="AB52" s="84"/>
      <c r="AC52" s="84"/>
    </row>
    <row r="53" spans="1:29" ht="15" customHeight="1" x14ac:dyDescent="0.25">
      <c r="A53" s="317" t="s">
        <v>1507</v>
      </c>
      <c r="B53" s="286">
        <f>'INH_Infinity Holds'!P40+'INH_Infinity Holds'!P43+'INH_Infinity Holds'!P45+'INH_Infinity Holds'!P46+'INH_Infinity Holds'!P25+'INH_Infinity Holds'!P79+'INH_Infinity Holds'!P80</f>
        <v>0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84"/>
      <c r="AA53" s="84"/>
      <c r="AB53" s="84"/>
      <c r="AC53" s="84"/>
    </row>
    <row r="54" spans="1:29" ht="15" customHeight="1" x14ac:dyDescent="0.25">
      <c r="A54" s="319" t="s">
        <v>1506</v>
      </c>
      <c r="B54" s="286">
        <f>'INH_Infinity Holds'!P41+'INH_Infinity Holds'!P44+'INH_Infinity Holds'!P46+'INH_Infinity Holds'!P47+'INH_Infinity Holds'!P81+'INH_Infinity Holds'!P82</f>
        <v>0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84"/>
      <c r="AA54" s="84"/>
      <c r="AB54" s="84"/>
      <c r="AC54" s="84"/>
    </row>
    <row r="55" spans="1:29" ht="15" hidden="1" customHeight="1" x14ac:dyDescent="0.25">
      <c r="A55" s="300" t="s">
        <v>10</v>
      </c>
      <c r="B55" s="286">
        <f>'INH_Infinity Holds'!P42+'INH_Infinity Holds'!P45+'INH_Infinity Holds'!P47+'INH_Infinity Holds'!P48</f>
        <v>0</v>
      </c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84"/>
      <c r="AA55" s="84"/>
    </row>
    <row r="56" spans="1:29" ht="15" customHeight="1" x14ac:dyDescent="0.25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84"/>
      <c r="AA56" s="84"/>
    </row>
    <row r="57" spans="1:29" ht="15" customHeight="1" x14ac:dyDescent="0.25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84"/>
      <c r="AA57" s="84"/>
    </row>
    <row r="58" spans="1:29" ht="15" customHeight="1" x14ac:dyDescent="0.25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84"/>
      <c r="AA58" s="84"/>
    </row>
    <row r="59" spans="1:29" ht="15" customHeight="1" x14ac:dyDescent="0.25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84"/>
      <c r="AA59" s="84"/>
    </row>
    <row r="60" spans="1:29" ht="15" customHeight="1" x14ac:dyDescent="0.25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84"/>
      <c r="AA60" s="84"/>
    </row>
    <row r="61" spans="1:29" ht="15" customHeight="1" x14ac:dyDescent="0.25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84"/>
      <c r="AA61" s="84"/>
    </row>
    <row r="62" spans="1:29" ht="15" customHeight="1" x14ac:dyDescent="0.25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84"/>
    </row>
    <row r="63" spans="1:29" ht="15" customHeight="1" x14ac:dyDescent="0.25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84"/>
      <c r="AA63" s="84"/>
      <c r="AB63" s="84"/>
    </row>
    <row r="64" spans="1:29" ht="15" customHeight="1" x14ac:dyDescent="0.25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84"/>
      <c r="AA64" s="84"/>
      <c r="AB64" s="84"/>
    </row>
    <row r="65" spans="1:28" ht="15" customHeight="1" x14ac:dyDescent="0.25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84"/>
      <c r="AA65" s="84"/>
      <c r="AB65" s="84"/>
    </row>
    <row r="66" spans="1:28" ht="15" customHeight="1" x14ac:dyDescent="0.25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84"/>
      <c r="AA66" s="84"/>
      <c r="AB66" s="84"/>
    </row>
    <row r="67" spans="1:28" ht="15" customHeight="1" x14ac:dyDescent="0.25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84"/>
      <c r="AA67" s="84"/>
      <c r="AB67" s="84"/>
    </row>
    <row r="68" spans="1:28" ht="15" customHeight="1" x14ac:dyDescent="0.25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84"/>
      <c r="AA68" s="84"/>
      <c r="AB68" s="84"/>
    </row>
    <row r="69" spans="1:28" ht="15" customHeight="1" x14ac:dyDescent="0.25">
      <c r="A69" s="256"/>
      <c r="B69" s="256"/>
      <c r="C69" s="256"/>
      <c r="D69" s="256"/>
      <c r="E69" s="256"/>
      <c r="F69" s="256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</row>
    <row r="70" spans="1:28" ht="15" customHeight="1" x14ac:dyDescent="0.2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</row>
    <row r="71" spans="1:28" ht="15" customHeight="1" x14ac:dyDescent="0.2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</row>
    <row r="72" spans="1:28" ht="15" customHeight="1" x14ac:dyDescent="0.2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</row>
    <row r="73" spans="1:28" ht="15" customHeight="1" x14ac:dyDescent="0.2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</row>
    <row r="74" spans="1:28" ht="15" customHeight="1" x14ac:dyDescent="0.2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</row>
    <row r="75" spans="1:28" ht="15" customHeight="1" x14ac:dyDescent="0.2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</row>
    <row r="76" spans="1:28" ht="15" customHeight="1" x14ac:dyDescent="0.2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</row>
    <row r="77" spans="1:28" ht="15" customHeight="1" x14ac:dyDescent="0.2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</row>
    <row r="78" spans="1:28" ht="15" customHeight="1" x14ac:dyDescent="0.2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</row>
    <row r="79" spans="1:28" ht="15" customHeight="1" x14ac:dyDescent="0.2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</row>
    <row r="80" spans="1:28" ht="15" customHeight="1" x14ac:dyDescent="0.2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</row>
    <row r="81" spans="1:28" ht="15" customHeight="1" x14ac:dyDescent="0.2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</row>
    <row r="82" spans="1:28" ht="15" customHeight="1" x14ac:dyDescent="0.2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</row>
    <row r="83" spans="1:28" ht="15" customHeight="1" x14ac:dyDescent="0.2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</row>
    <row r="84" spans="1:28" ht="15" customHeight="1" x14ac:dyDescent="0.2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</row>
    <row r="85" spans="1:28" ht="15" customHeight="1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</row>
    <row r="86" spans="1:28" ht="15" customHeight="1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</row>
    <row r="87" spans="1:28" ht="15" customHeight="1" x14ac:dyDescent="0.2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</row>
    <row r="88" spans="1:28" ht="15" customHeight="1" x14ac:dyDescent="0.2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</row>
    <row r="89" spans="1:28" ht="15" customHeight="1" x14ac:dyDescent="0.2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</row>
    <row r="90" spans="1:28" ht="15" customHeight="1" x14ac:dyDescent="0.2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</row>
    <row r="91" spans="1:28" ht="15" customHeight="1" x14ac:dyDescent="0.2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</row>
    <row r="92" spans="1:28" ht="15" customHeight="1" x14ac:dyDescent="0.2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</row>
    <row r="93" spans="1:28" ht="15" customHeight="1" x14ac:dyDescent="0.2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</row>
    <row r="94" spans="1:28" ht="15" customHeight="1" x14ac:dyDescent="0.2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</row>
    <row r="95" spans="1:28" ht="15" customHeight="1" x14ac:dyDescent="0.2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</row>
    <row r="96" spans="1:28" ht="15" customHeight="1" x14ac:dyDescent="0.2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</row>
    <row r="97" spans="1:28" ht="15" customHeight="1" x14ac:dyDescent="0.2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</row>
    <row r="98" spans="1:28" ht="15" customHeight="1" x14ac:dyDescent="0.25">
      <c r="A98" s="84"/>
      <c r="B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Z98" s="84"/>
      <c r="AA98" s="84"/>
      <c r="AB98" s="84"/>
    </row>
    <row r="99" spans="1:28" ht="15" customHeight="1" x14ac:dyDescent="0.25">
      <c r="A99" s="84"/>
      <c r="B99" s="84"/>
    </row>
  </sheetData>
  <sheetProtection algorithmName="SHA-512" hashValue="ymo+DXsSLgTJei1orTjtjS48JcmaWo9UqXfXjMwNGcvsu292x5e4/hxpCXYAFK1GFcVu0N/hMvt6mPXf6ZDvag==" saltValue="9HqPWNRFRKZD7yuDakfqEg==" spinCount="100000" sheet="1" objects="1" scenarios="1"/>
  <protectedRanges>
    <protectedRange sqref="C14 C16 C18" name="vpis_1_1"/>
  </protectedRanges>
  <mergeCells count="3">
    <mergeCell ref="C14:F14"/>
    <mergeCell ref="C16:F16"/>
    <mergeCell ref="C18:F19"/>
  </mergeCells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A6602-7845-43B1-A058-31BB35150036}">
  <sheetPr codeName="List10">
    <tabColor theme="1" tint="4.9989318521683403E-2"/>
    <pageSetUpPr fitToPage="1"/>
  </sheetPr>
  <dimension ref="A1:AC26"/>
  <sheetViews>
    <sheetView showGridLines="0" tabSelected="1" zoomScaleNormal="100" zoomScaleSheetLayoutView="55" workbookViewId="0">
      <pane ySplit="7" topLeftCell="A8" activePane="bottomLeft" state="frozen"/>
      <selection pane="bottomLeft" activeCell="E12" sqref="E12"/>
    </sheetView>
  </sheetViews>
  <sheetFormatPr defaultColWidth="8.85546875" defaultRowHeight="15" x14ac:dyDescent="0.25"/>
  <cols>
    <col min="1" max="1" width="21.5703125" style="30" customWidth="1"/>
    <col min="2" max="2" width="12.42578125" style="29" hidden="1" customWidth="1"/>
    <col min="3" max="3" width="13.85546875" style="30" bestFit="1" customWidth="1"/>
    <col min="4" max="4" width="9.140625" style="30" bestFit="1" customWidth="1"/>
    <col min="5" max="6" width="8.5703125" style="30" customWidth="1"/>
    <col min="7" max="7" width="13" style="30" customWidth="1"/>
    <col min="8" max="9" width="8.5703125" style="30" hidden="1" customWidth="1"/>
    <col min="10" max="10" width="10.85546875" style="30" hidden="1" customWidth="1"/>
    <col min="11" max="11" width="8.5703125" style="30" hidden="1" customWidth="1"/>
    <col min="12" max="12" width="11.42578125" style="30" hidden="1" customWidth="1"/>
    <col min="13" max="13" width="14.85546875" style="30" hidden="1" customWidth="1"/>
    <col min="14" max="14" width="14.85546875" style="30" customWidth="1"/>
    <col min="15" max="26" width="8.5703125" style="30" customWidth="1"/>
    <col min="27" max="28" width="8.5703125" style="219" customWidth="1"/>
    <col min="29" max="29" width="13.5703125" hidden="1" customWidth="1"/>
    <col min="30" max="31" width="6.42578125" style="30" customWidth="1"/>
    <col min="32" max="33" width="7.5703125" style="30" bestFit="1" customWidth="1"/>
    <col min="34" max="34" width="11.5703125" style="30" customWidth="1"/>
    <col min="35" max="35" width="7.5703125" style="30" bestFit="1" customWidth="1"/>
    <col min="36" max="36" width="9.5703125" style="30" customWidth="1"/>
    <col min="37" max="16384" width="8.85546875" style="30"/>
  </cols>
  <sheetData>
    <row r="1" spans="1:29" ht="52.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AC1" s="30"/>
    </row>
    <row r="2" spans="1:29" ht="21" customHeight="1" thickBot="1" x14ac:dyDescent="0.25">
      <c r="B2" s="59"/>
      <c r="C2" s="58"/>
      <c r="D2" s="58"/>
      <c r="E2" s="58"/>
      <c r="F2" s="58"/>
      <c r="G2" s="58"/>
      <c r="H2" s="58"/>
      <c r="I2" s="58"/>
      <c r="J2" s="162" t="s">
        <v>1371</v>
      </c>
      <c r="K2" s="163" t="s">
        <v>1342</v>
      </c>
      <c r="L2" s="58"/>
      <c r="M2" s="58"/>
      <c r="N2" s="58"/>
      <c r="O2" s="58"/>
      <c r="P2" s="58"/>
      <c r="Q2" s="58"/>
      <c r="R2" s="164"/>
      <c r="S2" s="165"/>
      <c r="U2" s="58"/>
      <c r="V2" s="58"/>
      <c r="W2" s="58"/>
      <c r="X2" s="58"/>
      <c r="Y2" s="58"/>
      <c r="Z2" s="58"/>
      <c r="AA2" s="535"/>
      <c r="AB2" s="535"/>
      <c r="AC2" s="30"/>
    </row>
    <row r="3" spans="1:29" ht="18" customHeight="1" thickBot="1" x14ac:dyDescent="0.3">
      <c r="C3" s="527" t="s">
        <v>0</v>
      </c>
      <c r="D3" s="528"/>
      <c r="E3" s="531">
        <f>SUM(O8:O12)</f>
        <v>0</v>
      </c>
      <c r="F3" s="532"/>
      <c r="J3" s="342">
        <f>SUM(M8:M12)</f>
        <v>0</v>
      </c>
      <c r="K3" s="167">
        <f>E3-J3</f>
        <v>0</v>
      </c>
    </row>
    <row r="4" spans="1:29" ht="18" customHeight="1" thickBot="1" x14ac:dyDescent="0.25">
      <c r="C4" s="529" t="s">
        <v>19</v>
      </c>
      <c r="D4" s="530"/>
      <c r="E4" s="533" cm="1">
        <f t="array" ref="E4">SUM(Tabela136910[Number of pcs]*Tabela136910[SETS])</f>
        <v>0</v>
      </c>
      <c r="F4" s="534"/>
      <c r="O4" s="536" t="s">
        <v>1202</v>
      </c>
      <c r="P4" s="537"/>
      <c r="Q4" s="168"/>
      <c r="S4" s="481">
        <f t="shared" ref="S4:AC4" si="0">SUM(S8:S11)</f>
        <v>0</v>
      </c>
      <c r="T4" s="483">
        <f t="shared" si="0"/>
        <v>0</v>
      </c>
      <c r="U4" s="471">
        <f t="shared" si="0"/>
        <v>0</v>
      </c>
      <c r="V4" s="443">
        <f t="shared" si="0"/>
        <v>0</v>
      </c>
      <c r="W4" s="473">
        <f t="shared" si="0"/>
        <v>0</v>
      </c>
      <c r="X4" s="474">
        <f t="shared" si="0"/>
        <v>0</v>
      </c>
      <c r="Y4" s="446">
        <f t="shared" si="0"/>
        <v>0</v>
      </c>
      <c r="Z4" s="475">
        <f t="shared" si="0"/>
        <v>0</v>
      </c>
      <c r="AA4" s="476">
        <f t="shared" si="0"/>
        <v>0</v>
      </c>
      <c r="AB4" s="450">
        <f t="shared" si="0"/>
        <v>0</v>
      </c>
      <c r="AC4" s="169">
        <f t="shared" si="0"/>
        <v>0</v>
      </c>
    </row>
    <row r="5" spans="1:29" ht="4.5" customHeight="1" thickBot="1" x14ac:dyDescent="0.3">
      <c r="C5" s="170"/>
      <c r="D5" s="170"/>
      <c r="E5" s="171"/>
      <c r="F5" s="171"/>
    </row>
    <row r="6" spans="1:29" ht="12" hidden="1" thickBot="1" x14ac:dyDescent="0.25">
      <c r="O6" s="32"/>
      <c r="S6" s="33">
        <f t="shared" ref="S6:AB6" si="1">SUM(S8:S11)</f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 t="shared" si="1"/>
        <v>0</v>
      </c>
      <c r="Z6" s="33">
        <f t="shared" si="1"/>
        <v>0</v>
      </c>
      <c r="AA6" s="452">
        <f t="shared" si="1"/>
        <v>0</v>
      </c>
      <c r="AB6" s="452">
        <f t="shared" si="1"/>
        <v>0</v>
      </c>
      <c r="AC6" s="30"/>
    </row>
    <row r="7" spans="1:29" ht="36.6" customHeight="1" thickBot="1" x14ac:dyDescent="0.25">
      <c r="B7" s="26" t="s">
        <v>1152</v>
      </c>
      <c r="C7" s="34" t="s">
        <v>86</v>
      </c>
      <c r="D7" s="172" t="s">
        <v>989</v>
      </c>
      <c r="E7" s="35" t="s">
        <v>12</v>
      </c>
      <c r="F7" s="35" t="s">
        <v>13</v>
      </c>
      <c r="G7" s="35" t="s">
        <v>3</v>
      </c>
      <c r="H7" s="60" t="s">
        <v>237</v>
      </c>
      <c r="I7" s="485" t="s">
        <v>2064</v>
      </c>
      <c r="J7" s="173" t="s">
        <v>1373</v>
      </c>
      <c r="K7" s="173" t="s">
        <v>1374</v>
      </c>
      <c r="L7" s="173" t="s">
        <v>1371</v>
      </c>
      <c r="M7" s="160" t="s">
        <v>1372</v>
      </c>
      <c r="N7" s="491" t="s">
        <v>2069</v>
      </c>
      <c r="O7" s="65" t="s">
        <v>85</v>
      </c>
      <c r="P7" s="66" t="s">
        <v>10</v>
      </c>
      <c r="Q7" s="66" t="s">
        <v>15</v>
      </c>
      <c r="R7" s="66" t="s">
        <v>11</v>
      </c>
      <c r="S7" s="61" t="s">
        <v>657</v>
      </c>
      <c r="T7" s="27" t="s">
        <v>84</v>
      </c>
      <c r="U7" s="27" t="s">
        <v>14</v>
      </c>
      <c r="V7" s="28" t="s">
        <v>926</v>
      </c>
      <c r="W7" s="28" t="s">
        <v>5</v>
      </c>
      <c r="X7" s="27" t="s">
        <v>6</v>
      </c>
      <c r="Y7" s="27" t="s">
        <v>7</v>
      </c>
      <c r="Z7" s="27" t="s">
        <v>927</v>
      </c>
      <c r="AA7" s="28" t="s">
        <v>198</v>
      </c>
      <c r="AB7" s="28" t="s">
        <v>8</v>
      </c>
      <c r="AC7" s="174" t="s">
        <v>1276</v>
      </c>
    </row>
    <row r="8" spans="1:29" ht="12" thickBot="1" x14ac:dyDescent="0.25">
      <c r="B8" s="45" t="s">
        <v>910</v>
      </c>
      <c r="C8" s="157" t="s">
        <v>984</v>
      </c>
      <c r="D8" s="96" t="s">
        <v>1153</v>
      </c>
      <c r="E8" s="47">
        <v>10</v>
      </c>
      <c r="F8" s="48" t="s">
        <v>909</v>
      </c>
      <c r="G8" s="47">
        <v>2.58</v>
      </c>
      <c r="H8" s="224">
        <v>85</v>
      </c>
      <c r="I8" s="224">
        <f>ROUNDUP(Tabela136910[[#This Row],[PRICE]]*(1+PRICES!$C$9),0)</f>
        <v>102</v>
      </c>
      <c r="J8" s="175">
        <v>0.15</v>
      </c>
      <c r="K8" s="79">
        <f>Tabela136910[[#This Row],[PRICE]]*Tabela136910[[#This Row],[DISCOUNT per piece '[%']]]</f>
        <v>12.75</v>
      </c>
      <c r="L8" s="79">
        <f>Tabela136910[[#This Row],[PRICE]]*(1-Tabela136910[[#This Row],[DISCOUNT per piece '[%']]])</f>
        <v>72.25</v>
      </c>
      <c r="M8" s="176">
        <f>Tabela136910[[#This Row],[SETS]]*Tabela136910[[#This Row],[PROMOTIONAL PRICE]]</f>
        <v>0</v>
      </c>
      <c r="N8" s="497" cm="1">
        <f t="array" ref="N8">ROUNDUP(Tabela136910[[#This Row],[NEW PRICE]]*eurofxref_daily[],2)</f>
        <v>164.1</v>
      </c>
      <c r="O8" s="506">
        <f>Tabela136910[[#This Row],[CAD PRICE]]*P8</f>
        <v>0</v>
      </c>
      <c r="P8" s="62">
        <f>SUM(Tabela136910[[#This Row],[RAL 1023]:[RAL 9005]])</f>
        <v>0</v>
      </c>
      <c r="Q8" s="62">
        <f>Tabela136910[[#This Row],[Number of pcs]]*Tabela136910[[#This Row],[SETS]]</f>
        <v>0</v>
      </c>
      <c r="R8" s="62">
        <f>Tabela136910[[#This Row],[SETS]]*Tabela136910[[#This Row],[Weight (kg)]]</f>
        <v>0</v>
      </c>
      <c r="S8" s="481"/>
      <c r="T8" s="486"/>
      <c r="U8" s="466"/>
      <c r="V8" s="435"/>
      <c r="W8" s="467"/>
      <c r="X8" s="468"/>
      <c r="Y8" s="436"/>
      <c r="Z8" s="470"/>
      <c r="AA8" s="469"/>
      <c r="AB8" s="449"/>
      <c r="AC8" s="177"/>
    </row>
    <row r="9" spans="1:29" ht="15.75" thickBot="1" x14ac:dyDescent="0.3">
      <c r="A9"/>
      <c r="B9" s="29" t="s">
        <v>911</v>
      </c>
      <c r="C9" s="155" t="s">
        <v>985</v>
      </c>
      <c r="D9" s="96" t="s">
        <v>1154</v>
      </c>
      <c r="E9" s="47">
        <v>5</v>
      </c>
      <c r="F9" s="48" t="s">
        <v>909</v>
      </c>
      <c r="G9" s="47">
        <v>1.85</v>
      </c>
      <c r="H9" s="224">
        <v>69</v>
      </c>
      <c r="I9" s="224">
        <f>ROUNDUP(Tabela136910[[#This Row],[PRICE]]*(1+PRICES!$C$9),0)</f>
        <v>83</v>
      </c>
      <c r="J9" s="175">
        <v>0.15</v>
      </c>
      <c r="K9" s="49">
        <f>Tabela136910[[#This Row],[PRICE]]*Tabela136910[[#This Row],[DISCOUNT per piece '[%']]]</f>
        <v>10.35</v>
      </c>
      <c r="L9" s="49">
        <f>Tabela136910[[#This Row],[PRICE]]*(1-Tabela136910[[#This Row],[DISCOUNT per piece '[%']]])</f>
        <v>58.65</v>
      </c>
      <c r="M9" s="178">
        <f>Tabela136910[[#This Row],[SETS]]*Tabela136910[[#This Row],[PROMOTIONAL PRICE]]</f>
        <v>0</v>
      </c>
      <c r="N9" s="497" cm="1">
        <f t="array" ref="N9">ROUNDUP(Tabela136910[[#This Row],[NEW PRICE]]*eurofxref_daily[],2)</f>
        <v>133.54</v>
      </c>
      <c r="O9" s="506">
        <f>Tabela136910[[#This Row],[CAD PRICE]]*P9</f>
        <v>0</v>
      </c>
      <c r="P9" s="62">
        <f>SUM(Tabela136910[[#This Row],[RAL 1023]:[RAL 9005]])</f>
        <v>0</v>
      </c>
      <c r="Q9" s="62">
        <f>Tabela136910[[#This Row],[Number of pcs]]*Tabela136910[[#This Row],[SETS]]</f>
        <v>0</v>
      </c>
      <c r="R9" s="62">
        <f>Tabela136910[[#This Row],[SETS]]*Tabela136910[[#This Row],[Weight (kg)]]</f>
        <v>0</v>
      </c>
      <c r="S9" s="481"/>
      <c r="T9" s="486"/>
      <c r="U9" s="466"/>
      <c r="V9" s="435"/>
      <c r="W9" s="467"/>
      <c r="X9" s="468"/>
      <c r="Y9" s="436"/>
      <c r="Z9" s="470"/>
      <c r="AA9" s="469"/>
      <c r="AB9" s="449"/>
      <c r="AC9" s="177"/>
    </row>
    <row r="10" spans="1:29" ht="12" thickBot="1" x14ac:dyDescent="0.25">
      <c r="B10" s="29" t="s">
        <v>912</v>
      </c>
      <c r="C10" s="155" t="s">
        <v>986</v>
      </c>
      <c r="D10" s="96" t="s">
        <v>1155</v>
      </c>
      <c r="E10" s="77">
        <v>5</v>
      </c>
      <c r="F10" s="78" t="s">
        <v>909</v>
      </c>
      <c r="G10" s="77">
        <v>2</v>
      </c>
      <c r="H10" s="224">
        <v>69</v>
      </c>
      <c r="I10" s="224">
        <f>ROUNDUP(Tabela136910[[#This Row],[PRICE]]*(1+PRICES!$C$9),0)</f>
        <v>83</v>
      </c>
      <c r="J10" s="175">
        <v>0.15</v>
      </c>
      <c r="K10" s="79">
        <f>Tabela136910[[#This Row],[PRICE]]*Tabela136910[[#This Row],[DISCOUNT per piece '[%']]]</f>
        <v>10.35</v>
      </c>
      <c r="L10" s="79">
        <f>Tabela136910[[#This Row],[PRICE]]*(1-Tabela136910[[#This Row],[DISCOUNT per piece '[%']]])</f>
        <v>58.65</v>
      </c>
      <c r="M10" s="176">
        <f>Tabela136910[[#This Row],[SETS]]*Tabela136910[[#This Row],[PROMOTIONAL PRICE]]</f>
        <v>0</v>
      </c>
      <c r="N10" s="497" cm="1">
        <f t="array" ref="N10">ROUNDUP(Tabela136910[[#This Row],[NEW PRICE]]*eurofxref_daily[],2)</f>
        <v>133.54</v>
      </c>
      <c r="O10" s="506">
        <f>Tabela136910[[#This Row],[CAD PRICE]]*P10</f>
        <v>0</v>
      </c>
      <c r="P10" s="62">
        <f>SUM(Tabela136910[[#This Row],[RAL 1023]:[RAL 9005]])</f>
        <v>0</v>
      </c>
      <c r="Q10" s="62">
        <f>Tabela136910[[#This Row],[Number of pcs]]*Tabela136910[[#This Row],[SETS]]</f>
        <v>0</v>
      </c>
      <c r="R10" s="62">
        <f>Tabela136910[[#This Row],[SETS]]*Tabela136910[[#This Row],[Weight (kg)]]</f>
        <v>0</v>
      </c>
      <c r="S10" s="481"/>
      <c r="T10" s="486"/>
      <c r="U10" s="466"/>
      <c r="V10" s="435"/>
      <c r="W10" s="467"/>
      <c r="X10" s="468"/>
      <c r="Y10" s="436"/>
      <c r="Z10" s="470"/>
      <c r="AA10" s="469"/>
      <c r="AB10" s="449"/>
      <c r="AC10" s="177"/>
    </row>
    <row r="11" spans="1:29" ht="12" thickBot="1" x14ac:dyDescent="0.25">
      <c r="B11" s="29" t="s">
        <v>913</v>
      </c>
      <c r="C11" s="155" t="s">
        <v>987</v>
      </c>
      <c r="D11" s="96" t="s">
        <v>1156</v>
      </c>
      <c r="E11" s="47">
        <v>10</v>
      </c>
      <c r="F11" s="48" t="s">
        <v>909</v>
      </c>
      <c r="G11" s="47">
        <v>4.3</v>
      </c>
      <c r="H11" s="389">
        <v>106</v>
      </c>
      <c r="I11" s="224">
        <f>ROUNDUP(Tabela136910[[#This Row],[PRICE]]*(1+PRICES!$C$9),0)</f>
        <v>128</v>
      </c>
      <c r="J11" s="175">
        <v>0.15</v>
      </c>
      <c r="K11" s="49">
        <f>Tabela136910[[#This Row],[PRICE]]*Tabela136910[[#This Row],[DISCOUNT per piece '[%']]]</f>
        <v>15.899999999999999</v>
      </c>
      <c r="L11" s="49">
        <f>Tabela136910[[#This Row],[PRICE]]*(1-Tabela136910[[#This Row],[DISCOUNT per piece '[%']]])</f>
        <v>90.1</v>
      </c>
      <c r="M11" s="178">
        <f>Tabela136910[[#This Row],[SETS]]*Tabela136910[[#This Row],[PROMOTIONAL PRICE]]</f>
        <v>0</v>
      </c>
      <c r="N11" s="497" cm="1">
        <f t="array" ref="N11">ROUNDUP(Tabela136910[[#This Row],[NEW PRICE]]*eurofxref_daily[],2)</f>
        <v>205.92999999999998</v>
      </c>
      <c r="O11" s="506">
        <f>Tabela136910[[#This Row],[CAD PRICE]]*P11</f>
        <v>0</v>
      </c>
      <c r="P11" s="62">
        <f>SUM(Tabela136910[[#This Row],[RAL 1023]:[RAL 9005]])</f>
        <v>0</v>
      </c>
      <c r="Q11" s="62">
        <f>Tabela136910[[#This Row],[Number of pcs]]*Tabela136910[[#This Row],[SETS]]</f>
        <v>0</v>
      </c>
      <c r="R11" s="62">
        <f>Tabela136910[[#This Row],[SETS]]*Tabela136910[[#This Row],[Weight (kg)]]</f>
        <v>0</v>
      </c>
      <c r="S11" s="481"/>
      <c r="T11" s="486"/>
      <c r="U11" s="466"/>
      <c r="V11" s="435"/>
      <c r="W11" s="467"/>
      <c r="X11" s="468"/>
      <c r="Y11" s="436"/>
      <c r="Z11" s="470"/>
      <c r="AA11" s="469"/>
      <c r="AB11" s="449"/>
      <c r="AC11" s="177"/>
    </row>
    <row r="12" spans="1:29" ht="11.25" x14ac:dyDescent="0.2">
      <c r="B12" s="386" t="s">
        <v>1961</v>
      </c>
      <c r="C12" s="387" t="s">
        <v>1962</v>
      </c>
      <c r="D12" s="388" t="s">
        <v>1963</v>
      </c>
      <c r="E12" s="47">
        <v>10</v>
      </c>
      <c r="F12" s="48" t="s">
        <v>1964</v>
      </c>
      <c r="G12" s="47">
        <v>5.05</v>
      </c>
      <c r="H12" s="390">
        <v>120</v>
      </c>
      <c r="I12" s="224">
        <f>ROUNDUP(Tabela136910[[#This Row],[PRICE]]*(1+PRICES!$C$9),0)</f>
        <v>144</v>
      </c>
      <c r="J12" s="49"/>
      <c r="K12" s="49">
        <f>Tabela136910[[#This Row],[PRICE]]*Tabela136910[[#This Row],[DISCOUNT per piece '[%']]]</f>
        <v>0</v>
      </c>
      <c r="L12" s="49">
        <f>Tabela136910[[#This Row],[PRICE]]*(1-Tabela136910[[#This Row],[DISCOUNT per piece '[%']]])</f>
        <v>120</v>
      </c>
      <c r="M12" s="178">
        <f>Tabela136910[[#This Row],[SETS]]*Tabela136910[[#This Row],[PROMOTIONAL PRICE]]</f>
        <v>0</v>
      </c>
      <c r="N12" s="497" cm="1">
        <f t="array" ref="N12">ROUNDUP(Tabela136910[[#This Row],[NEW PRICE]]*eurofxref_daily[],2)</f>
        <v>231.67</v>
      </c>
      <c r="O12" s="506">
        <f>Tabela136910[[#This Row],[CAD PRICE]]*P12</f>
        <v>0</v>
      </c>
      <c r="P12" s="150">
        <f>SUM(Tabela136910[[#This Row],[RAL 1023]:[RAL 9005]])</f>
        <v>0</v>
      </c>
      <c r="Q12" s="153">
        <f>Tabela136910[[#This Row],[Number of pcs]]*Tabela136910[[#This Row],[SETS]]</f>
        <v>0</v>
      </c>
      <c r="R12" s="150">
        <f>Tabela136910[[#This Row],[SETS]]*Tabela136910[[#This Row],[Weight (kg)]]</f>
        <v>0</v>
      </c>
      <c r="S12" s="481"/>
      <c r="T12" s="486"/>
      <c r="U12" s="466"/>
      <c r="V12" s="435"/>
      <c r="W12" s="467"/>
      <c r="X12" s="468"/>
      <c r="Y12" s="436"/>
      <c r="Z12" s="470"/>
      <c r="AA12" s="469"/>
      <c r="AB12" s="449"/>
      <c r="AC12" s="159"/>
    </row>
    <row r="18" spans="16:24" x14ac:dyDescent="0.25">
      <c r="Q18"/>
    </row>
    <row r="21" spans="16:24" x14ac:dyDescent="0.25">
      <c r="X21"/>
    </row>
    <row r="26" spans="16:24" x14ac:dyDescent="0.25">
      <c r="P26"/>
    </row>
  </sheetData>
  <sheetProtection algorithmName="SHA-512" hashValue="aNlQEI1q7O6sTXyaSCHfoNn+B+Qrbn3ofB6D7iwdoXguoEatQ469uSsobCPGCDJmIqnnzls+NYpg+fsu71mDsg==" saltValue="XA8cwcFyOUzHvHIOIXJrNQ==" spinCount="100000" sheet="1" objects="1" scenarios="1"/>
  <mergeCells count="6">
    <mergeCell ref="C3:D3"/>
    <mergeCell ref="C4:D4"/>
    <mergeCell ref="E3:F3"/>
    <mergeCell ref="E4:F4"/>
    <mergeCell ref="AA2:AB2"/>
    <mergeCell ref="O4:P4"/>
  </mergeCells>
  <phoneticPr fontId="14" type="noConversion"/>
  <hyperlinks>
    <hyperlink ref="C8" r:id="rId1" xr:uid="{36BE4E3C-B913-46DE-9BC3-E24618091719}"/>
    <hyperlink ref="C9" r:id="rId2" display="https://climbinggymheaven.com/product/ocean-friends/" xr:uid="{D8B34889-5D1A-4854-9559-60B8ABF0D4F0}"/>
    <hyperlink ref="C10" r:id="rId3" xr:uid="{152640CD-79E2-4455-9C62-60049121832C}"/>
    <hyperlink ref="C11" r:id="rId4" xr:uid="{4D2C7B54-9A0A-41F0-A05C-ADFE5923F0CB}"/>
  </hyperlinks>
  <pageMargins left="0.7" right="0.7" top="0.75" bottom="0.75" header="0.3" footer="0.3"/>
  <pageSetup paperSize="9" scale="56" orientation="portrait" r:id="rId5"/>
  <drawing r:id="rId6"/>
  <tableParts count="1"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D9D4A-C14A-4489-BFE7-C257981C0AFA}">
  <sheetPr>
    <tabColor theme="1" tint="4.9989318521683403E-2"/>
  </sheetPr>
  <dimension ref="A2:C9"/>
  <sheetViews>
    <sheetView workbookViewId="0">
      <selection activeCell="G24" sqref="G24"/>
    </sheetView>
  </sheetViews>
  <sheetFormatPr defaultRowHeight="15" x14ac:dyDescent="0.25"/>
  <cols>
    <col min="1" max="1" width="16.28515625" bestFit="1" customWidth="1"/>
    <col min="2" max="2" width="11.28515625" bestFit="1" customWidth="1"/>
  </cols>
  <sheetData>
    <row r="2" spans="1:3" x14ac:dyDescent="0.25">
      <c r="A2" t="s">
        <v>2051</v>
      </c>
      <c r="B2" t="s">
        <v>2052</v>
      </c>
      <c r="C2" t="s">
        <v>2053</v>
      </c>
    </row>
    <row r="3" spans="1:3" x14ac:dyDescent="0.25">
      <c r="A3" t="s">
        <v>2054</v>
      </c>
      <c r="B3" t="s">
        <v>1338</v>
      </c>
      <c r="C3" s="484">
        <v>0.2</v>
      </c>
    </row>
    <row r="4" spans="1:3" x14ac:dyDescent="0.25">
      <c r="A4" t="s">
        <v>2058</v>
      </c>
      <c r="B4" t="s">
        <v>2063</v>
      </c>
      <c r="C4" s="484">
        <v>0.2</v>
      </c>
    </row>
    <row r="5" spans="1:3" x14ac:dyDescent="0.25">
      <c r="A5" t="s">
        <v>2059</v>
      </c>
      <c r="B5" t="s">
        <v>1338</v>
      </c>
      <c r="C5" s="484">
        <v>0.2</v>
      </c>
    </row>
    <row r="6" spans="1:3" x14ac:dyDescent="0.25">
      <c r="A6" t="s">
        <v>2055</v>
      </c>
      <c r="B6" t="s">
        <v>2061</v>
      </c>
      <c r="C6" s="484">
        <v>0.2</v>
      </c>
    </row>
    <row r="7" spans="1:3" x14ac:dyDescent="0.25">
      <c r="A7" t="s">
        <v>2057</v>
      </c>
      <c r="B7" t="s">
        <v>1338</v>
      </c>
      <c r="C7" s="484">
        <v>0.2</v>
      </c>
    </row>
    <row r="8" spans="1:3" x14ac:dyDescent="0.25">
      <c r="A8" t="s">
        <v>2056</v>
      </c>
      <c r="B8" t="s">
        <v>2062</v>
      </c>
      <c r="C8" s="484">
        <v>0.2</v>
      </c>
    </row>
    <row r="9" spans="1:3" x14ac:dyDescent="0.25">
      <c r="A9" t="s">
        <v>2060</v>
      </c>
      <c r="B9" t="s">
        <v>2062</v>
      </c>
      <c r="C9" s="484">
        <v>0.2</v>
      </c>
    </row>
  </sheetData>
  <sheetProtection algorithmName="SHA-512" hashValue="UA5923Kx8FnNCn10es/gCINLiLA5oLC5wr5epJ3HpIkT4Xvf2KUwx7K5qhrJB9RVszGAVGAZYJm+RzxDnG2UBg==" saltValue="N9esjPDeT2Vscsru8dYKi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BEFDD-AC7E-494E-9B45-266C6106B2CF}">
  <sheetPr>
    <tabColor theme="1" tint="4.9989318521683403E-2"/>
  </sheetPr>
  <dimension ref="A1:A2"/>
  <sheetViews>
    <sheetView workbookViewId="0">
      <selection activeCell="G21" sqref="G21"/>
    </sheetView>
  </sheetViews>
  <sheetFormatPr defaultRowHeight="15" x14ac:dyDescent="0.25"/>
  <cols>
    <col min="1" max="1" width="15.7109375" bestFit="1" customWidth="1"/>
  </cols>
  <sheetData>
    <row r="1" spans="1:1" x14ac:dyDescent="0.25">
      <c r="A1" t="s">
        <v>2068</v>
      </c>
    </row>
    <row r="2" spans="1:1" x14ac:dyDescent="0.25">
      <c r="A2">
        <v>1.6088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045DC-8694-4FD3-B0C5-ECC0E1F9E6DE}">
  <sheetPr codeName="List2" filterMode="1">
    <tabColor theme="4"/>
  </sheetPr>
  <dimension ref="B1:G187"/>
  <sheetViews>
    <sheetView showGridLines="0" workbookViewId="0">
      <pane ySplit="8" topLeftCell="A9" activePane="bottomLeft" state="frozen"/>
      <selection pane="bottomLeft" activeCell="E5" sqref="E2:G5"/>
    </sheetView>
  </sheetViews>
  <sheetFormatPr defaultRowHeight="15" x14ac:dyDescent="0.25"/>
  <cols>
    <col min="2" max="2" width="23" style="1" customWidth="1"/>
    <col min="3" max="3" width="13.42578125" style="1" customWidth="1"/>
    <col min="4" max="4" width="13.42578125" bestFit="1" customWidth="1"/>
    <col min="5" max="5" width="9.42578125" style="1" customWidth="1"/>
    <col min="6" max="6" width="16" bestFit="1" customWidth="1"/>
  </cols>
  <sheetData>
    <row r="1" spans="2:7" ht="90" customHeight="1" x14ac:dyDescent="0.25"/>
    <row r="2" spans="2:7" ht="23.25" customHeight="1" thickBot="1" x14ac:dyDescent="0.3">
      <c r="B2" s="10" t="s">
        <v>16</v>
      </c>
      <c r="C2" s="11"/>
      <c r="D2" s="12"/>
      <c r="E2" s="10" t="s">
        <v>20</v>
      </c>
      <c r="F2" s="11"/>
      <c r="G2" s="10"/>
    </row>
    <row r="3" spans="2:7" ht="33" customHeight="1" thickBot="1" x14ac:dyDescent="0.3">
      <c r="B3" s="577"/>
      <c r="C3" s="578"/>
      <c r="D3" s="17"/>
      <c r="E3" s="577"/>
      <c r="F3" s="579"/>
      <c r="G3" s="578"/>
    </row>
    <row r="4" spans="2:7" ht="16.350000000000001" customHeight="1" thickBot="1" x14ac:dyDescent="0.3">
      <c r="B4" s="10" t="s">
        <v>17</v>
      </c>
      <c r="C4" s="11"/>
      <c r="E4" s="10" t="s">
        <v>21</v>
      </c>
    </row>
    <row r="5" spans="2:7" ht="19.5" thickBot="1" x14ac:dyDescent="0.3">
      <c r="B5" s="577"/>
      <c r="C5" s="578"/>
      <c r="E5" s="577"/>
      <c r="F5" s="579"/>
      <c r="G5" s="578"/>
    </row>
    <row r="8" spans="2:7" ht="30.75" customHeight="1" x14ac:dyDescent="0.25">
      <c r="B8" s="5" t="s">
        <v>1</v>
      </c>
      <c r="C8" s="5" t="s">
        <v>2</v>
      </c>
      <c r="D8" s="5" t="s">
        <v>22</v>
      </c>
      <c r="E8" s="5" t="s">
        <v>15</v>
      </c>
      <c r="F8" s="13" t="s">
        <v>9</v>
      </c>
      <c r="G8" s="14" t="s">
        <v>18</v>
      </c>
    </row>
    <row r="9" spans="2:7" hidden="1" x14ac:dyDescent="0.25">
      <c r="B9" s="15" t="s">
        <v>23</v>
      </c>
      <c r="C9" s="18" t="s">
        <v>53</v>
      </c>
      <c r="D9" s="3">
        <v>76</v>
      </c>
      <c r="E9" s="24">
        <f>'Ilusion Insert'!L7</f>
        <v>0</v>
      </c>
      <c r="F9" s="3">
        <f>E9*D9</f>
        <v>0</v>
      </c>
    </row>
    <row r="10" spans="2:7" hidden="1" x14ac:dyDescent="0.25">
      <c r="B10" s="16" t="s">
        <v>24</v>
      </c>
      <c r="C10" s="19" t="s">
        <v>54</v>
      </c>
      <c r="D10" s="2">
        <v>42</v>
      </c>
      <c r="E10" s="24">
        <f>'Ilusion Insert'!L8</f>
        <v>0</v>
      </c>
      <c r="F10" s="2">
        <f t="shared" ref="F10:F73" si="0">E10*D10</f>
        <v>0</v>
      </c>
    </row>
    <row r="11" spans="2:7" hidden="1" x14ac:dyDescent="0.25">
      <c r="B11" s="15" t="s">
        <v>25</v>
      </c>
      <c r="C11" s="18" t="s">
        <v>55</v>
      </c>
      <c r="D11" s="3">
        <v>83</v>
      </c>
      <c r="E11" s="24">
        <f>'Ilusion Insert'!L9</f>
        <v>0</v>
      </c>
      <c r="F11" s="3">
        <f t="shared" si="0"/>
        <v>0</v>
      </c>
    </row>
    <row r="12" spans="2:7" hidden="1" x14ac:dyDescent="0.25">
      <c r="B12" s="16" t="s">
        <v>26</v>
      </c>
      <c r="C12" s="19" t="s">
        <v>56</v>
      </c>
      <c r="D12" s="2">
        <v>45</v>
      </c>
      <c r="E12" s="24">
        <f>'Ilusion Insert'!L10</f>
        <v>0</v>
      </c>
      <c r="F12" s="2">
        <f t="shared" si="0"/>
        <v>0</v>
      </c>
    </row>
    <row r="13" spans="2:7" hidden="1" x14ac:dyDescent="0.25">
      <c r="B13" s="15" t="s">
        <v>27</v>
      </c>
      <c r="C13" s="18" t="s">
        <v>57</v>
      </c>
      <c r="D13" s="3">
        <v>89</v>
      </c>
      <c r="E13" s="24">
        <f>'Ilusion Insert'!L11</f>
        <v>0</v>
      </c>
      <c r="F13" s="3">
        <f t="shared" si="0"/>
        <v>0</v>
      </c>
    </row>
    <row r="14" spans="2:7" hidden="1" x14ac:dyDescent="0.25">
      <c r="B14" s="16" t="s">
        <v>28</v>
      </c>
      <c r="C14" s="19" t="s">
        <v>58</v>
      </c>
      <c r="D14" s="2">
        <v>50</v>
      </c>
      <c r="E14" s="24">
        <f>'Ilusion Insert'!L12</f>
        <v>0</v>
      </c>
      <c r="F14" s="2">
        <f t="shared" si="0"/>
        <v>0</v>
      </c>
    </row>
    <row r="15" spans="2:7" hidden="1" x14ac:dyDescent="0.25">
      <c r="B15" s="15" t="s">
        <v>29</v>
      </c>
      <c r="C15" s="18" t="s">
        <v>59</v>
      </c>
      <c r="D15" s="3">
        <v>114</v>
      </c>
      <c r="E15" s="24">
        <f>'Ilusion Insert'!L13</f>
        <v>0</v>
      </c>
      <c r="F15" s="3">
        <f t="shared" si="0"/>
        <v>0</v>
      </c>
    </row>
    <row r="16" spans="2:7" hidden="1" x14ac:dyDescent="0.25">
      <c r="B16" s="16" t="s">
        <v>30</v>
      </c>
      <c r="C16" s="19" t="s">
        <v>60</v>
      </c>
      <c r="D16" s="2">
        <v>49</v>
      </c>
      <c r="E16" s="24">
        <f>'Ilusion Insert'!L14</f>
        <v>0</v>
      </c>
      <c r="F16" s="2">
        <f t="shared" si="0"/>
        <v>0</v>
      </c>
    </row>
    <row r="17" spans="2:6" hidden="1" x14ac:dyDescent="0.25">
      <c r="B17" s="15" t="s">
        <v>31</v>
      </c>
      <c r="C17" s="18" t="s">
        <v>61</v>
      </c>
      <c r="D17" s="3">
        <v>50</v>
      </c>
      <c r="E17" s="24">
        <f>'Ilusion Insert'!L15</f>
        <v>0</v>
      </c>
      <c r="F17" s="3">
        <f t="shared" si="0"/>
        <v>0</v>
      </c>
    </row>
    <row r="18" spans="2:6" hidden="1" x14ac:dyDescent="0.25">
      <c r="B18" s="16" t="s">
        <v>32</v>
      </c>
      <c r="C18" s="19" t="s">
        <v>62</v>
      </c>
      <c r="D18" s="2">
        <v>128</v>
      </c>
      <c r="E18" s="24">
        <f>'Ilusion Insert'!L16</f>
        <v>0</v>
      </c>
      <c r="F18" s="2">
        <f t="shared" si="0"/>
        <v>0</v>
      </c>
    </row>
    <row r="19" spans="2:6" hidden="1" x14ac:dyDescent="0.25">
      <c r="B19" s="15" t="s">
        <v>33</v>
      </c>
      <c r="C19" s="18" t="s">
        <v>63</v>
      </c>
      <c r="D19" s="3">
        <v>56.76</v>
      </c>
      <c r="E19" s="24">
        <f>'Ilusion Insert'!L17</f>
        <v>0</v>
      </c>
      <c r="F19" s="3">
        <f t="shared" si="0"/>
        <v>0</v>
      </c>
    </row>
    <row r="20" spans="2:6" hidden="1" x14ac:dyDescent="0.25">
      <c r="B20" s="16" t="s">
        <v>34</v>
      </c>
      <c r="C20" s="19" t="s">
        <v>64</v>
      </c>
      <c r="D20" s="2">
        <v>60</v>
      </c>
      <c r="E20" s="24">
        <f>'Ilusion Insert'!L18</f>
        <v>0</v>
      </c>
      <c r="F20" s="2">
        <f t="shared" si="0"/>
        <v>0</v>
      </c>
    </row>
    <row r="21" spans="2:6" hidden="1" x14ac:dyDescent="0.25">
      <c r="B21" s="15" t="s">
        <v>35</v>
      </c>
      <c r="C21" s="18" t="s">
        <v>65</v>
      </c>
      <c r="D21" s="3">
        <v>141</v>
      </c>
      <c r="E21" s="24">
        <f>'Ilusion Insert'!L19</f>
        <v>0</v>
      </c>
      <c r="F21" s="3">
        <f t="shared" si="0"/>
        <v>0</v>
      </c>
    </row>
    <row r="22" spans="2:6" hidden="1" x14ac:dyDescent="0.25">
      <c r="B22" s="16" t="s">
        <v>36</v>
      </c>
      <c r="C22" s="19" t="s">
        <v>66</v>
      </c>
      <c r="D22" s="2">
        <v>72</v>
      </c>
      <c r="E22" s="24">
        <f>'Ilusion Insert'!L20</f>
        <v>0</v>
      </c>
      <c r="F22" s="2">
        <f t="shared" si="0"/>
        <v>0</v>
      </c>
    </row>
    <row r="23" spans="2:6" hidden="1" x14ac:dyDescent="0.25">
      <c r="B23" s="15" t="s">
        <v>37</v>
      </c>
      <c r="C23" s="18" t="s">
        <v>67</v>
      </c>
      <c r="D23" s="3">
        <v>64</v>
      </c>
      <c r="E23" s="24">
        <f>'Ilusion Insert'!L21</f>
        <v>0</v>
      </c>
      <c r="F23" s="3">
        <f t="shared" si="0"/>
        <v>0</v>
      </c>
    </row>
    <row r="24" spans="2:6" hidden="1" x14ac:dyDescent="0.25">
      <c r="B24" s="16" t="s">
        <v>38</v>
      </c>
      <c r="C24" s="19" t="s">
        <v>68</v>
      </c>
      <c r="D24" s="2">
        <v>130</v>
      </c>
      <c r="E24" s="24">
        <f>'Ilusion Insert'!L22</f>
        <v>0</v>
      </c>
      <c r="F24" s="2">
        <f t="shared" si="0"/>
        <v>0</v>
      </c>
    </row>
    <row r="25" spans="2:6" hidden="1" x14ac:dyDescent="0.25">
      <c r="B25" s="15" t="s">
        <v>39</v>
      </c>
      <c r="C25" s="18" t="s">
        <v>69</v>
      </c>
      <c r="D25" s="3">
        <v>63</v>
      </c>
      <c r="E25" s="24">
        <f>'Ilusion Insert'!L23</f>
        <v>0</v>
      </c>
      <c r="F25" s="3">
        <f t="shared" si="0"/>
        <v>0</v>
      </c>
    </row>
    <row r="26" spans="2:6" hidden="1" x14ac:dyDescent="0.25">
      <c r="B26" s="16" t="s">
        <v>40</v>
      </c>
      <c r="C26" s="19" t="s">
        <v>70</v>
      </c>
      <c r="D26" s="2">
        <v>64</v>
      </c>
      <c r="E26" s="24">
        <f>'Ilusion Insert'!L24</f>
        <v>0</v>
      </c>
      <c r="F26" s="2">
        <f t="shared" si="0"/>
        <v>0</v>
      </c>
    </row>
    <row r="27" spans="2:6" hidden="1" x14ac:dyDescent="0.25">
      <c r="B27" s="15" t="s">
        <v>41</v>
      </c>
      <c r="C27" s="18" t="s">
        <v>71</v>
      </c>
      <c r="D27" s="3">
        <v>154</v>
      </c>
      <c r="E27" s="24">
        <f>'Ilusion Insert'!L25</f>
        <v>0</v>
      </c>
      <c r="F27" s="3">
        <f t="shared" si="0"/>
        <v>0</v>
      </c>
    </row>
    <row r="28" spans="2:6" hidden="1" x14ac:dyDescent="0.25">
      <c r="B28" s="16" t="s">
        <v>42</v>
      </c>
      <c r="C28" s="19" t="s">
        <v>72</v>
      </c>
      <c r="D28" s="2">
        <v>76</v>
      </c>
      <c r="E28" s="24" t="e">
        <f>'Ilusion Insert'!#REF!</f>
        <v>#REF!</v>
      </c>
      <c r="F28" s="2" t="e">
        <f t="shared" si="0"/>
        <v>#REF!</v>
      </c>
    </row>
    <row r="29" spans="2:6" hidden="1" x14ac:dyDescent="0.25">
      <c r="B29" s="15" t="s">
        <v>43</v>
      </c>
      <c r="C29" s="18" t="s">
        <v>73</v>
      </c>
      <c r="D29" s="3">
        <v>77</v>
      </c>
      <c r="E29" s="24" t="e">
        <f>'Ilusion Insert'!#REF!</f>
        <v>#REF!</v>
      </c>
      <c r="F29" s="3" t="e">
        <f t="shared" si="0"/>
        <v>#REF!</v>
      </c>
    </row>
    <row r="30" spans="2:6" hidden="1" x14ac:dyDescent="0.25">
      <c r="B30" s="16" t="s">
        <v>44</v>
      </c>
      <c r="C30" s="19" t="s">
        <v>74</v>
      </c>
      <c r="D30" s="2">
        <v>157</v>
      </c>
      <c r="E30" s="24" t="e">
        <f>'Ilusion Insert'!#REF!</f>
        <v>#REF!</v>
      </c>
      <c r="F30" s="2" t="e">
        <f t="shared" si="0"/>
        <v>#REF!</v>
      </c>
    </row>
    <row r="31" spans="2:6" hidden="1" x14ac:dyDescent="0.25">
      <c r="B31" s="15" t="s">
        <v>45</v>
      </c>
      <c r="C31" s="18" t="s">
        <v>75</v>
      </c>
      <c r="D31" s="3">
        <v>131</v>
      </c>
      <c r="E31" s="24" t="e">
        <f>'Ilusion Insert'!#REF!</f>
        <v>#REF!</v>
      </c>
      <c r="F31" s="3" t="e">
        <f t="shared" si="0"/>
        <v>#REF!</v>
      </c>
    </row>
    <row r="32" spans="2:6" hidden="1" x14ac:dyDescent="0.25">
      <c r="B32" s="16" t="s">
        <v>46</v>
      </c>
      <c r="C32" s="19" t="s">
        <v>76</v>
      </c>
      <c r="D32" s="2">
        <v>104</v>
      </c>
      <c r="E32" s="24" t="e">
        <f>'Ilusion Insert'!#REF!</f>
        <v>#REF!</v>
      </c>
      <c r="F32" s="2" t="e">
        <f t="shared" si="0"/>
        <v>#REF!</v>
      </c>
    </row>
    <row r="33" spans="2:6" hidden="1" x14ac:dyDescent="0.25">
      <c r="B33" s="15" t="s">
        <v>47</v>
      </c>
      <c r="C33" s="18" t="s">
        <v>77</v>
      </c>
      <c r="D33" s="3">
        <v>125</v>
      </c>
      <c r="E33" s="24" t="e">
        <f>'Ilusion Insert'!#REF!</f>
        <v>#REF!</v>
      </c>
      <c r="F33" s="3" t="e">
        <f t="shared" si="0"/>
        <v>#REF!</v>
      </c>
    </row>
    <row r="34" spans="2:6" hidden="1" x14ac:dyDescent="0.25">
      <c r="B34" s="16" t="s">
        <v>48</v>
      </c>
      <c r="C34" s="19" t="s">
        <v>78</v>
      </c>
      <c r="D34" s="2">
        <v>61</v>
      </c>
      <c r="E34" s="24" t="e">
        <f>'Ilusion Insert'!#REF!</f>
        <v>#REF!</v>
      </c>
      <c r="F34" s="2" t="e">
        <f t="shared" si="0"/>
        <v>#REF!</v>
      </c>
    </row>
    <row r="35" spans="2:6" hidden="1" x14ac:dyDescent="0.25">
      <c r="B35" s="15" t="s">
        <v>49</v>
      </c>
      <c r="C35" s="18" t="s">
        <v>79</v>
      </c>
      <c r="D35" s="3">
        <v>132</v>
      </c>
      <c r="E35" s="24" t="e">
        <f>'Ilusion Insert'!#REF!</f>
        <v>#REF!</v>
      </c>
      <c r="F35" s="3" t="e">
        <f t="shared" si="0"/>
        <v>#REF!</v>
      </c>
    </row>
    <row r="36" spans="2:6" hidden="1" x14ac:dyDescent="0.25">
      <c r="B36" s="16" t="s">
        <v>50</v>
      </c>
      <c r="C36" s="19" t="s">
        <v>80</v>
      </c>
      <c r="D36" s="2">
        <v>71</v>
      </c>
      <c r="E36" s="24" t="e">
        <f>'Ilusion Insert'!#REF!</f>
        <v>#REF!</v>
      </c>
      <c r="F36" s="2" t="e">
        <f t="shared" si="0"/>
        <v>#REF!</v>
      </c>
    </row>
    <row r="37" spans="2:6" hidden="1" x14ac:dyDescent="0.25">
      <c r="B37" s="15" t="s">
        <v>51</v>
      </c>
      <c r="C37" s="18" t="s">
        <v>81</v>
      </c>
      <c r="D37" s="3">
        <v>137</v>
      </c>
      <c r="E37" s="24" t="e">
        <f>'Ilusion Insert'!#REF!</f>
        <v>#REF!</v>
      </c>
      <c r="F37" s="3" t="e">
        <f t="shared" si="0"/>
        <v>#REF!</v>
      </c>
    </row>
    <row r="38" spans="2:6" hidden="1" x14ac:dyDescent="0.25">
      <c r="B38" s="16" t="s">
        <v>52</v>
      </c>
      <c r="C38" s="19" t="s">
        <v>82</v>
      </c>
      <c r="D38" s="2">
        <v>79</v>
      </c>
      <c r="E38" s="24" t="e">
        <f>'Ilusion Insert'!#REF!</f>
        <v>#REF!</v>
      </c>
      <c r="F38" s="3" t="e">
        <f t="shared" si="0"/>
        <v>#REF!</v>
      </c>
    </row>
    <row r="39" spans="2:6" hidden="1" x14ac:dyDescent="0.25">
      <c r="B39" s="25" t="s">
        <v>87</v>
      </c>
      <c r="C39" s="19" t="s">
        <v>88</v>
      </c>
      <c r="D39" s="23"/>
      <c r="E39" s="24" t="e">
        <f>'Ilusion Insert'!#REF!</f>
        <v>#REF!</v>
      </c>
      <c r="F39" s="3" t="e">
        <f t="shared" si="0"/>
        <v>#REF!</v>
      </c>
    </row>
    <row r="40" spans="2:6" hidden="1" x14ac:dyDescent="0.25">
      <c r="B40" s="25" t="s">
        <v>89</v>
      </c>
      <c r="C40" s="19" t="s">
        <v>90</v>
      </c>
      <c r="D40" s="22">
        <v>80</v>
      </c>
      <c r="E40" s="24" t="e">
        <f>'Ilusion Insert'!#REF!</f>
        <v>#REF!</v>
      </c>
      <c r="F40" s="3" t="e">
        <f t="shared" si="0"/>
        <v>#REF!</v>
      </c>
    </row>
    <row r="41" spans="2:6" hidden="1" x14ac:dyDescent="0.25">
      <c r="B41" s="25" t="s">
        <v>91</v>
      </c>
      <c r="C41" s="19" t="s">
        <v>92</v>
      </c>
      <c r="D41" s="23">
        <v>72</v>
      </c>
      <c r="E41" s="24" t="e">
        <f>'Ilusion Insert'!#REF!</f>
        <v>#REF!</v>
      </c>
      <c r="F41" s="3" t="e">
        <f t="shared" si="0"/>
        <v>#REF!</v>
      </c>
    </row>
    <row r="42" spans="2:6" hidden="1" x14ac:dyDescent="0.25">
      <c r="B42" s="25" t="s">
        <v>93</v>
      </c>
      <c r="C42" s="19" t="s">
        <v>94</v>
      </c>
      <c r="D42" s="22">
        <v>72</v>
      </c>
      <c r="E42" s="24" t="e">
        <f>'Ilusion Insert'!#REF!</f>
        <v>#REF!</v>
      </c>
      <c r="F42" s="3" t="e">
        <f t="shared" si="0"/>
        <v>#REF!</v>
      </c>
    </row>
    <row r="43" spans="2:6" hidden="1" x14ac:dyDescent="0.25">
      <c r="B43" s="25" t="s">
        <v>95</v>
      </c>
      <c r="C43" s="19" t="s">
        <v>96</v>
      </c>
      <c r="D43" s="23">
        <v>48</v>
      </c>
      <c r="E43" s="24" t="e">
        <f>'Ilusion Insert'!#REF!</f>
        <v>#REF!</v>
      </c>
      <c r="F43" s="3" t="e">
        <f t="shared" si="0"/>
        <v>#REF!</v>
      </c>
    </row>
    <row r="44" spans="2:6" hidden="1" x14ac:dyDescent="0.25">
      <c r="B44" s="25" t="s">
        <v>97</v>
      </c>
      <c r="C44" s="19" t="s">
        <v>98</v>
      </c>
      <c r="D44" s="22">
        <v>56</v>
      </c>
      <c r="E44" s="24" t="e">
        <f>'Ilusion Insert'!#REF!</f>
        <v>#REF!</v>
      </c>
      <c r="F44" s="3" t="e">
        <f t="shared" si="0"/>
        <v>#REF!</v>
      </c>
    </row>
    <row r="45" spans="2:6" hidden="1" x14ac:dyDescent="0.25">
      <c r="B45" s="25" t="s">
        <v>99</v>
      </c>
      <c r="C45" s="19" t="s">
        <v>100</v>
      </c>
      <c r="D45" s="23">
        <v>72</v>
      </c>
      <c r="E45" s="24" t="e">
        <f>'Ilusion Insert'!#REF!</f>
        <v>#REF!</v>
      </c>
      <c r="F45" s="3" t="e">
        <f t="shared" si="0"/>
        <v>#REF!</v>
      </c>
    </row>
    <row r="46" spans="2:6" hidden="1" x14ac:dyDescent="0.25">
      <c r="B46" s="25" t="s">
        <v>101</v>
      </c>
      <c r="C46" s="19" t="s">
        <v>102</v>
      </c>
      <c r="D46" s="22">
        <v>64</v>
      </c>
      <c r="E46" s="24" t="e">
        <f>'Ilusion Insert'!#REF!</f>
        <v>#REF!</v>
      </c>
      <c r="F46" s="3" t="e">
        <f t="shared" si="0"/>
        <v>#REF!</v>
      </c>
    </row>
    <row r="47" spans="2:6" hidden="1" x14ac:dyDescent="0.25">
      <c r="B47" s="25" t="s">
        <v>103</v>
      </c>
      <c r="C47" s="19" t="s">
        <v>104</v>
      </c>
      <c r="D47" s="23">
        <v>80</v>
      </c>
      <c r="E47" s="24" t="e">
        <f>'Ilusion Insert'!#REF!</f>
        <v>#REF!</v>
      </c>
      <c r="F47" s="3" t="e">
        <f t="shared" si="0"/>
        <v>#REF!</v>
      </c>
    </row>
    <row r="48" spans="2:6" hidden="1" x14ac:dyDescent="0.25">
      <c r="B48" s="25" t="s">
        <v>105</v>
      </c>
      <c r="C48" s="19" t="s">
        <v>106</v>
      </c>
      <c r="D48" s="22">
        <v>72</v>
      </c>
      <c r="E48" s="24" t="e">
        <f>'Ilusion Insert'!#REF!</f>
        <v>#REF!</v>
      </c>
      <c r="F48" s="3" t="e">
        <f t="shared" si="0"/>
        <v>#REF!</v>
      </c>
    </row>
    <row r="49" spans="2:6" hidden="1" x14ac:dyDescent="0.25">
      <c r="B49" s="25" t="s">
        <v>107</v>
      </c>
      <c r="C49" s="19" t="s">
        <v>108</v>
      </c>
      <c r="D49" s="23">
        <v>80</v>
      </c>
      <c r="E49" s="24" t="e">
        <f>'Ilusion Insert'!#REF!</f>
        <v>#REF!</v>
      </c>
      <c r="F49" s="3" t="e">
        <f t="shared" si="0"/>
        <v>#REF!</v>
      </c>
    </row>
    <row r="50" spans="2:6" hidden="1" x14ac:dyDescent="0.25">
      <c r="B50" s="25" t="s">
        <v>109</v>
      </c>
      <c r="C50" s="19" t="s">
        <v>110</v>
      </c>
      <c r="D50" s="22">
        <v>88</v>
      </c>
      <c r="E50" s="24" t="e">
        <f>'Ilusion Insert'!#REF!</f>
        <v>#REF!</v>
      </c>
      <c r="F50" s="3" t="e">
        <f t="shared" si="0"/>
        <v>#REF!</v>
      </c>
    </row>
    <row r="51" spans="2:6" hidden="1" x14ac:dyDescent="0.25">
      <c r="B51" s="25" t="s">
        <v>111</v>
      </c>
      <c r="C51" s="19" t="s">
        <v>112</v>
      </c>
      <c r="D51" s="23">
        <v>80</v>
      </c>
      <c r="E51" s="24" t="e">
        <f>'Ilusion Insert'!#REF!</f>
        <v>#REF!</v>
      </c>
      <c r="F51" s="3" t="e">
        <f t="shared" si="0"/>
        <v>#REF!</v>
      </c>
    </row>
    <row r="52" spans="2:6" hidden="1" x14ac:dyDescent="0.25">
      <c r="B52" s="25" t="s">
        <v>113</v>
      </c>
      <c r="C52" s="19" t="s">
        <v>114</v>
      </c>
      <c r="D52" s="22">
        <v>96</v>
      </c>
      <c r="E52" s="24" t="e">
        <f>'Ilusion Insert'!#REF!</f>
        <v>#REF!</v>
      </c>
      <c r="F52" s="3" t="e">
        <f t="shared" si="0"/>
        <v>#REF!</v>
      </c>
    </row>
    <row r="53" spans="2:6" hidden="1" x14ac:dyDescent="0.25">
      <c r="B53" s="25" t="s">
        <v>115</v>
      </c>
      <c r="C53" s="19" t="s">
        <v>116</v>
      </c>
      <c r="D53" s="23">
        <v>96</v>
      </c>
      <c r="E53" s="24" t="e">
        <f>'Ilusion Insert'!#REF!</f>
        <v>#REF!</v>
      </c>
      <c r="F53" s="3" t="e">
        <f t="shared" si="0"/>
        <v>#REF!</v>
      </c>
    </row>
    <row r="54" spans="2:6" hidden="1" x14ac:dyDescent="0.25">
      <c r="B54" s="25" t="s">
        <v>117</v>
      </c>
      <c r="C54" s="19" t="s">
        <v>118</v>
      </c>
      <c r="D54" s="22">
        <v>96</v>
      </c>
      <c r="E54" s="24" t="e">
        <f>'Ilusion Insert'!#REF!</f>
        <v>#REF!</v>
      </c>
      <c r="F54" s="3" t="e">
        <f t="shared" si="0"/>
        <v>#REF!</v>
      </c>
    </row>
    <row r="55" spans="2:6" ht="16.5" hidden="1" customHeight="1" x14ac:dyDescent="0.25">
      <c r="B55" s="25" t="s">
        <v>119</v>
      </c>
      <c r="C55" s="19" t="s">
        <v>120</v>
      </c>
      <c r="D55" s="23">
        <v>34</v>
      </c>
      <c r="E55" s="24" t="e">
        <f>'Ilusion Insert'!#REF!</f>
        <v>#REF!</v>
      </c>
      <c r="F55" s="3" t="e">
        <f t="shared" si="0"/>
        <v>#REF!</v>
      </c>
    </row>
    <row r="56" spans="2:6" hidden="1" x14ac:dyDescent="0.25">
      <c r="B56" s="25" t="s">
        <v>121</v>
      </c>
      <c r="C56" s="19" t="s">
        <v>122</v>
      </c>
      <c r="D56" s="22">
        <v>30</v>
      </c>
      <c r="E56" s="24" t="e">
        <f>'Ilusion Insert'!#REF!</f>
        <v>#REF!</v>
      </c>
      <c r="F56" s="3" t="e">
        <f t="shared" si="0"/>
        <v>#REF!</v>
      </c>
    </row>
    <row r="57" spans="2:6" hidden="1" x14ac:dyDescent="0.25">
      <c r="B57" s="25" t="s">
        <v>123</v>
      </c>
      <c r="C57" s="19" t="s">
        <v>124</v>
      </c>
      <c r="D57" s="23">
        <v>32</v>
      </c>
      <c r="E57" s="24" t="e">
        <f>'Ilusion Insert'!#REF!</f>
        <v>#REF!</v>
      </c>
      <c r="F57" s="3" t="e">
        <f t="shared" si="0"/>
        <v>#REF!</v>
      </c>
    </row>
    <row r="58" spans="2:6" hidden="1" x14ac:dyDescent="0.25">
      <c r="B58" s="25" t="s">
        <v>125</v>
      </c>
      <c r="C58" s="19" t="s">
        <v>126</v>
      </c>
      <c r="D58" s="22">
        <v>42</v>
      </c>
      <c r="E58" s="24" t="e">
        <f>'Ilusion Insert'!#REF!</f>
        <v>#REF!</v>
      </c>
      <c r="F58" s="3" t="e">
        <f t="shared" si="0"/>
        <v>#REF!</v>
      </c>
    </row>
    <row r="59" spans="2:6" hidden="1" x14ac:dyDescent="0.25">
      <c r="B59" s="25" t="s">
        <v>127</v>
      </c>
      <c r="C59" s="19" t="s">
        <v>128</v>
      </c>
      <c r="D59" s="23">
        <v>34</v>
      </c>
      <c r="E59" s="24" t="e">
        <f>'Ilusion Insert'!#REF!</f>
        <v>#REF!</v>
      </c>
      <c r="F59" s="3" t="e">
        <f t="shared" si="0"/>
        <v>#REF!</v>
      </c>
    </row>
    <row r="60" spans="2:6" hidden="1" x14ac:dyDescent="0.25">
      <c r="B60" s="25" t="s">
        <v>129</v>
      </c>
      <c r="C60" s="19" t="s">
        <v>130</v>
      </c>
      <c r="D60" s="22">
        <v>34</v>
      </c>
      <c r="E60" s="24" t="e">
        <f>'Ilusion Insert'!#REF!</f>
        <v>#REF!</v>
      </c>
      <c r="F60" s="3" t="e">
        <f t="shared" si="0"/>
        <v>#REF!</v>
      </c>
    </row>
    <row r="61" spans="2:6" hidden="1" x14ac:dyDescent="0.25">
      <c r="B61" s="25" t="s">
        <v>131</v>
      </c>
      <c r="C61" s="19" t="s">
        <v>132</v>
      </c>
      <c r="D61" s="23">
        <v>38</v>
      </c>
      <c r="E61" s="24" t="e">
        <f>'Ilusion Insert'!#REF!</f>
        <v>#REF!</v>
      </c>
      <c r="F61" s="3" t="e">
        <f t="shared" si="0"/>
        <v>#REF!</v>
      </c>
    </row>
    <row r="62" spans="2:6" hidden="1" x14ac:dyDescent="0.25">
      <c r="B62" s="25" t="s">
        <v>133</v>
      </c>
      <c r="C62" s="19" t="s">
        <v>134</v>
      </c>
      <c r="D62" s="22">
        <v>44</v>
      </c>
      <c r="E62" s="24" t="e">
        <f>'Ilusion Insert'!#REF!</f>
        <v>#REF!</v>
      </c>
      <c r="F62" s="3" t="e">
        <f t="shared" si="0"/>
        <v>#REF!</v>
      </c>
    </row>
    <row r="63" spans="2:6" hidden="1" x14ac:dyDescent="0.25">
      <c r="B63" s="25" t="s">
        <v>135</v>
      </c>
      <c r="C63" s="19" t="s">
        <v>136</v>
      </c>
      <c r="D63" s="23">
        <v>31</v>
      </c>
      <c r="E63" s="24" t="e">
        <f>'Ilusion Insert'!#REF!</f>
        <v>#REF!</v>
      </c>
      <c r="F63" s="3" t="e">
        <f t="shared" si="0"/>
        <v>#REF!</v>
      </c>
    </row>
    <row r="64" spans="2:6" hidden="1" x14ac:dyDescent="0.25">
      <c r="B64" s="25" t="s">
        <v>137</v>
      </c>
      <c r="C64" s="19" t="s">
        <v>138</v>
      </c>
      <c r="D64" s="22">
        <v>31</v>
      </c>
      <c r="E64" s="24" t="e">
        <f>'Ilusion Insert'!#REF!</f>
        <v>#REF!</v>
      </c>
      <c r="F64" s="3" t="e">
        <f t="shared" si="0"/>
        <v>#REF!</v>
      </c>
    </row>
    <row r="65" spans="2:6" hidden="1" x14ac:dyDescent="0.25">
      <c r="B65" s="25" t="s">
        <v>139</v>
      </c>
      <c r="C65" s="19" t="s">
        <v>140</v>
      </c>
      <c r="D65" s="23">
        <v>31</v>
      </c>
      <c r="E65" s="24" t="e">
        <f>'Ilusion Insert'!#REF!</f>
        <v>#REF!</v>
      </c>
      <c r="F65" s="3" t="e">
        <f t="shared" si="0"/>
        <v>#REF!</v>
      </c>
    </row>
    <row r="66" spans="2:6" hidden="1" x14ac:dyDescent="0.25">
      <c r="B66" s="25" t="s">
        <v>141</v>
      </c>
      <c r="C66" s="19" t="s">
        <v>142</v>
      </c>
      <c r="D66" s="22">
        <v>31</v>
      </c>
      <c r="E66" s="24" t="e">
        <f>'Ilusion Insert'!#REF!</f>
        <v>#REF!</v>
      </c>
      <c r="F66" s="3" t="e">
        <f t="shared" si="0"/>
        <v>#REF!</v>
      </c>
    </row>
    <row r="67" spans="2:6" hidden="1" x14ac:dyDescent="0.25">
      <c r="B67" s="25" t="s">
        <v>143</v>
      </c>
      <c r="C67" s="19" t="s">
        <v>144</v>
      </c>
      <c r="D67" s="23">
        <v>31</v>
      </c>
      <c r="E67" s="24" t="e">
        <f>'Ilusion Insert'!#REF!</f>
        <v>#REF!</v>
      </c>
      <c r="F67" s="3" t="e">
        <f t="shared" si="0"/>
        <v>#REF!</v>
      </c>
    </row>
    <row r="68" spans="2:6" hidden="1" x14ac:dyDescent="0.25">
      <c r="B68" s="25" t="s">
        <v>145</v>
      </c>
      <c r="C68" s="19" t="s">
        <v>146</v>
      </c>
      <c r="D68" s="22">
        <v>31</v>
      </c>
      <c r="E68" s="24" t="e">
        <f>'Ilusion Insert'!#REF!</f>
        <v>#REF!</v>
      </c>
      <c r="F68" s="3" t="e">
        <f t="shared" si="0"/>
        <v>#REF!</v>
      </c>
    </row>
    <row r="69" spans="2:6" hidden="1" x14ac:dyDescent="0.25">
      <c r="B69" s="25" t="s">
        <v>147</v>
      </c>
      <c r="C69" s="19" t="s">
        <v>148</v>
      </c>
      <c r="D69" s="23">
        <v>33</v>
      </c>
      <c r="E69" s="24" t="e">
        <f>'Ilusion Insert'!#REF!</f>
        <v>#REF!</v>
      </c>
      <c r="F69" s="3" t="e">
        <f t="shared" si="0"/>
        <v>#REF!</v>
      </c>
    </row>
    <row r="70" spans="2:6" hidden="1" x14ac:dyDescent="0.25">
      <c r="B70" s="25" t="s">
        <v>149</v>
      </c>
      <c r="C70" s="19" t="s">
        <v>150</v>
      </c>
      <c r="D70" s="22">
        <v>336</v>
      </c>
      <c r="E70" s="24" t="e">
        <f>'Ilusion Insert'!#REF!</f>
        <v>#REF!</v>
      </c>
      <c r="F70" s="3" t="e">
        <f t="shared" si="0"/>
        <v>#REF!</v>
      </c>
    </row>
    <row r="71" spans="2:6" hidden="1" x14ac:dyDescent="0.25">
      <c r="B71" s="25" t="s">
        <v>151</v>
      </c>
      <c r="C71" s="19" t="s">
        <v>152</v>
      </c>
      <c r="D71" s="23">
        <v>232</v>
      </c>
      <c r="E71" s="24" t="e">
        <f>'Ilusion Insert'!#REF!</f>
        <v>#REF!</v>
      </c>
      <c r="F71" s="3" t="e">
        <f t="shared" si="0"/>
        <v>#REF!</v>
      </c>
    </row>
    <row r="72" spans="2:6" hidden="1" x14ac:dyDescent="0.25">
      <c r="B72" s="25" t="s">
        <v>153</v>
      </c>
      <c r="C72" s="19" t="s">
        <v>154</v>
      </c>
      <c r="D72" s="22">
        <v>112</v>
      </c>
      <c r="E72" s="24" t="e">
        <f>'Ilusion Insert'!#REF!</f>
        <v>#REF!</v>
      </c>
      <c r="F72" s="3" t="e">
        <f t="shared" si="0"/>
        <v>#REF!</v>
      </c>
    </row>
    <row r="73" spans="2:6" hidden="1" x14ac:dyDescent="0.25">
      <c r="B73" s="25" t="s">
        <v>155</v>
      </c>
      <c r="C73" s="19" t="s">
        <v>156</v>
      </c>
      <c r="D73" s="23">
        <v>64</v>
      </c>
      <c r="E73" s="24" t="e">
        <f>'Ilusion Insert'!#REF!</f>
        <v>#REF!</v>
      </c>
      <c r="F73" s="3" t="e">
        <f t="shared" si="0"/>
        <v>#REF!</v>
      </c>
    </row>
    <row r="74" spans="2:6" hidden="1" x14ac:dyDescent="0.25">
      <c r="B74" s="25" t="s">
        <v>157</v>
      </c>
      <c r="C74" s="19" t="s">
        <v>158</v>
      </c>
      <c r="D74" s="22">
        <v>44</v>
      </c>
      <c r="E74" s="24" t="e">
        <f>'Ilusion Insert'!#REF!</f>
        <v>#REF!</v>
      </c>
      <c r="F74" s="3" t="e">
        <f t="shared" ref="F74:F91" si="1">E74*D74</f>
        <v>#REF!</v>
      </c>
    </row>
    <row r="75" spans="2:6" hidden="1" x14ac:dyDescent="0.25">
      <c r="B75" s="25" t="s">
        <v>159</v>
      </c>
      <c r="C75" s="19" t="s">
        <v>160</v>
      </c>
      <c r="D75" s="23">
        <v>39</v>
      </c>
      <c r="E75" s="24" t="e">
        <f>'Ilusion Insert'!#REF!</f>
        <v>#REF!</v>
      </c>
      <c r="F75" s="3" t="e">
        <f t="shared" si="1"/>
        <v>#REF!</v>
      </c>
    </row>
    <row r="76" spans="2:6" hidden="1" x14ac:dyDescent="0.25">
      <c r="B76" s="25" t="s">
        <v>161</v>
      </c>
      <c r="C76" s="19" t="s">
        <v>162</v>
      </c>
      <c r="D76" s="22">
        <v>52</v>
      </c>
      <c r="E76" s="24" t="e">
        <f>'Ilusion Insert'!#REF!</f>
        <v>#REF!</v>
      </c>
      <c r="F76" s="3" t="e">
        <f t="shared" si="1"/>
        <v>#REF!</v>
      </c>
    </row>
    <row r="77" spans="2:6" hidden="1" x14ac:dyDescent="0.25">
      <c r="B77" s="25" t="s">
        <v>163</v>
      </c>
      <c r="C77" s="19" t="s">
        <v>164</v>
      </c>
      <c r="D77" s="23">
        <v>30</v>
      </c>
      <c r="E77" s="24" t="e">
        <f>'Ilusion Insert'!#REF!</f>
        <v>#REF!</v>
      </c>
      <c r="F77" s="3" t="e">
        <f t="shared" si="1"/>
        <v>#REF!</v>
      </c>
    </row>
    <row r="78" spans="2:6" hidden="1" x14ac:dyDescent="0.25">
      <c r="B78" s="25" t="s">
        <v>165</v>
      </c>
      <c r="C78" s="19" t="s">
        <v>166</v>
      </c>
      <c r="D78" s="22">
        <v>30</v>
      </c>
      <c r="E78" s="24" t="e">
        <f>'Ilusion Insert'!#REF!</f>
        <v>#REF!</v>
      </c>
      <c r="F78" s="3" t="e">
        <f t="shared" si="1"/>
        <v>#REF!</v>
      </c>
    </row>
    <row r="79" spans="2:6" hidden="1" x14ac:dyDescent="0.25">
      <c r="B79" s="25" t="s">
        <v>167</v>
      </c>
      <c r="C79" s="19" t="s">
        <v>168</v>
      </c>
      <c r="D79" s="23">
        <v>54</v>
      </c>
      <c r="E79" s="24" t="e">
        <f>'Ilusion Insert'!#REF!</f>
        <v>#REF!</v>
      </c>
      <c r="F79" s="3" t="e">
        <f t="shared" si="1"/>
        <v>#REF!</v>
      </c>
    </row>
    <row r="80" spans="2:6" hidden="1" x14ac:dyDescent="0.25">
      <c r="B80" s="25" t="s">
        <v>169</v>
      </c>
      <c r="C80" s="19" t="s">
        <v>170</v>
      </c>
      <c r="D80" s="22">
        <v>50</v>
      </c>
      <c r="E80" s="24" t="e">
        <f>'Ilusion Insert'!#REF!</f>
        <v>#REF!</v>
      </c>
      <c r="F80" s="3" t="e">
        <f t="shared" si="1"/>
        <v>#REF!</v>
      </c>
    </row>
    <row r="81" spans="2:6" hidden="1" x14ac:dyDescent="0.25">
      <c r="B81" s="25" t="s">
        <v>171</v>
      </c>
      <c r="C81" s="19" t="s">
        <v>172</v>
      </c>
      <c r="D81" s="23">
        <v>68</v>
      </c>
      <c r="E81" s="24" t="e">
        <f>'Ilusion Insert'!#REF!</f>
        <v>#REF!</v>
      </c>
      <c r="F81" s="3" t="e">
        <f t="shared" si="1"/>
        <v>#REF!</v>
      </c>
    </row>
    <row r="82" spans="2:6" hidden="1" x14ac:dyDescent="0.25">
      <c r="B82" s="25" t="s">
        <v>173</v>
      </c>
      <c r="C82" s="19" t="s">
        <v>174</v>
      </c>
      <c r="D82" s="22">
        <v>56</v>
      </c>
      <c r="E82" s="24" t="e">
        <f>'Ilusion Insert'!#REF!</f>
        <v>#REF!</v>
      </c>
      <c r="F82" s="3" t="e">
        <f t="shared" si="1"/>
        <v>#REF!</v>
      </c>
    </row>
    <row r="83" spans="2:6" hidden="1" x14ac:dyDescent="0.25">
      <c r="B83" s="25" t="s">
        <v>175</v>
      </c>
      <c r="C83" s="19" t="s">
        <v>176</v>
      </c>
      <c r="D83" s="23">
        <v>30</v>
      </c>
      <c r="E83" s="24" t="e">
        <f>'Ilusion Insert'!#REF!</f>
        <v>#REF!</v>
      </c>
      <c r="F83" s="3" t="e">
        <f t="shared" si="1"/>
        <v>#REF!</v>
      </c>
    </row>
    <row r="84" spans="2:6" hidden="1" x14ac:dyDescent="0.25">
      <c r="B84" s="25" t="s">
        <v>177</v>
      </c>
      <c r="C84" s="19" t="s">
        <v>178</v>
      </c>
      <c r="D84" s="22">
        <v>45</v>
      </c>
      <c r="E84" s="24" t="e">
        <f>'Ilusion Insert'!#REF!</f>
        <v>#REF!</v>
      </c>
      <c r="F84" s="3" t="e">
        <f t="shared" si="1"/>
        <v>#REF!</v>
      </c>
    </row>
    <row r="85" spans="2:6" hidden="1" x14ac:dyDescent="0.25">
      <c r="B85" s="25" t="s">
        <v>179</v>
      </c>
      <c r="C85" s="19" t="s">
        <v>180</v>
      </c>
      <c r="D85" s="23">
        <v>44</v>
      </c>
      <c r="E85" s="24" t="e">
        <f>'Ilusion Insert'!#REF!</f>
        <v>#REF!</v>
      </c>
      <c r="F85" s="3" t="e">
        <f t="shared" si="1"/>
        <v>#REF!</v>
      </c>
    </row>
    <row r="86" spans="2:6" hidden="1" x14ac:dyDescent="0.25">
      <c r="B86" s="25" t="s">
        <v>181</v>
      </c>
      <c r="C86" s="19" t="s">
        <v>182</v>
      </c>
      <c r="D86" s="22">
        <v>94</v>
      </c>
      <c r="E86" s="24" t="e">
        <f>'Ilusion Insert'!#REF!</f>
        <v>#REF!</v>
      </c>
      <c r="F86" s="3" t="e">
        <f t="shared" si="1"/>
        <v>#REF!</v>
      </c>
    </row>
    <row r="87" spans="2:6" hidden="1" x14ac:dyDescent="0.25">
      <c r="B87" s="25" t="s">
        <v>183</v>
      </c>
      <c r="C87" s="19" t="s">
        <v>184</v>
      </c>
      <c r="D87" s="23">
        <v>33</v>
      </c>
      <c r="E87" s="24" t="e">
        <f>'Ilusion Insert'!#REF!</f>
        <v>#REF!</v>
      </c>
      <c r="F87" s="3" t="e">
        <f t="shared" si="1"/>
        <v>#REF!</v>
      </c>
    </row>
    <row r="88" spans="2:6" hidden="1" x14ac:dyDescent="0.25">
      <c r="B88" s="25" t="s">
        <v>185</v>
      </c>
      <c r="C88" s="19" t="s">
        <v>186</v>
      </c>
      <c r="D88" s="22">
        <v>33</v>
      </c>
      <c r="E88" s="24" t="e">
        <f>'Ilusion Insert'!#REF!</f>
        <v>#REF!</v>
      </c>
      <c r="F88" s="3" t="e">
        <f t="shared" si="1"/>
        <v>#REF!</v>
      </c>
    </row>
    <row r="89" spans="2:6" hidden="1" x14ac:dyDescent="0.25">
      <c r="B89" s="25" t="s">
        <v>187</v>
      </c>
      <c r="C89" s="19" t="s">
        <v>188</v>
      </c>
      <c r="D89" s="22">
        <v>48</v>
      </c>
      <c r="E89" s="24" t="e">
        <f>'Ilusion Insert'!#REF!</f>
        <v>#REF!</v>
      </c>
      <c r="F89" s="3" t="e">
        <f t="shared" si="1"/>
        <v>#REF!</v>
      </c>
    </row>
    <row r="90" spans="2:6" hidden="1" x14ac:dyDescent="0.25">
      <c r="B90" s="25" t="s">
        <v>189</v>
      </c>
      <c r="C90" s="19" t="s">
        <v>190</v>
      </c>
      <c r="D90" s="23">
        <v>52</v>
      </c>
      <c r="E90" s="24" t="e">
        <f>'Ilusion Insert'!#REF!</f>
        <v>#REF!</v>
      </c>
      <c r="F90" s="3" t="e">
        <f t="shared" si="1"/>
        <v>#REF!</v>
      </c>
    </row>
    <row r="91" spans="2:6" hidden="1" x14ac:dyDescent="0.25">
      <c r="B91" s="25" t="s">
        <v>191</v>
      </c>
      <c r="C91" s="19" t="s">
        <v>192</v>
      </c>
      <c r="D91" s="23">
        <v>54</v>
      </c>
      <c r="E91" s="24" t="e">
        <f>'Ilusion Insert'!#REF!</f>
        <v>#REF!</v>
      </c>
      <c r="F91" s="3" t="e">
        <f t="shared" si="1"/>
        <v>#REF!</v>
      </c>
    </row>
    <row r="92" spans="2:6" hidden="1" x14ac:dyDescent="0.25">
      <c r="B92" s="25"/>
      <c r="C92" s="19"/>
      <c r="D92" s="23"/>
      <c r="E92" s="3" t="e">
        <f>SUM(E9:E91)</f>
        <v>#REF!</v>
      </c>
      <c r="F92" s="3" t="e">
        <f>SUM(F9:F91)</f>
        <v>#REF!</v>
      </c>
    </row>
    <row r="93" spans="2:6" s="4" customFormat="1" ht="18.75" hidden="1" thickBot="1" x14ac:dyDescent="0.3">
      <c r="B93" s="6" t="s">
        <v>83</v>
      </c>
      <c r="C93" s="7"/>
      <c r="D93" s="7"/>
      <c r="E93" s="21" t="e">
        <f>SUM(E9:E91)</f>
        <v>#REF!</v>
      </c>
      <c r="F93" s="20" t="e">
        <f>SUM(F9:F92)</f>
        <v>#REF!</v>
      </c>
    </row>
    <row r="106" spans="5:5" x14ac:dyDescent="0.25">
      <c r="E106" s="8"/>
    </row>
    <row r="107" spans="5:5" x14ac:dyDescent="0.25">
      <c r="E107" s="9"/>
    </row>
    <row r="108" spans="5:5" x14ac:dyDescent="0.25">
      <c r="E108" s="8"/>
    </row>
    <row r="109" spans="5:5" x14ac:dyDescent="0.25">
      <c r="E109" s="9"/>
    </row>
    <row r="110" spans="5:5" x14ac:dyDescent="0.25">
      <c r="E110" s="8"/>
    </row>
    <row r="111" spans="5:5" x14ac:dyDescent="0.25">
      <c r="E111" s="9"/>
    </row>
    <row r="112" spans="5:5" x14ac:dyDescent="0.25">
      <c r="E112" s="9"/>
    </row>
    <row r="113" spans="5:5" x14ac:dyDescent="0.25">
      <c r="E113" s="8"/>
    </row>
    <row r="114" spans="5:5" x14ac:dyDescent="0.25">
      <c r="E114" s="9"/>
    </row>
    <row r="115" spans="5:5" x14ac:dyDescent="0.25">
      <c r="E115" s="8"/>
    </row>
    <row r="116" spans="5:5" x14ac:dyDescent="0.25">
      <c r="E116" s="9"/>
    </row>
    <row r="117" spans="5:5" x14ac:dyDescent="0.25">
      <c r="E117" s="8"/>
    </row>
    <row r="118" spans="5:5" x14ac:dyDescent="0.25">
      <c r="E118" s="9"/>
    </row>
    <row r="119" spans="5:5" x14ac:dyDescent="0.25">
      <c r="E119" s="8"/>
    </row>
    <row r="120" spans="5:5" x14ac:dyDescent="0.25">
      <c r="E120" s="9"/>
    </row>
    <row r="121" spans="5:5" x14ac:dyDescent="0.25">
      <c r="E121" s="8"/>
    </row>
    <row r="122" spans="5:5" x14ac:dyDescent="0.25">
      <c r="E122" s="9"/>
    </row>
    <row r="123" spans="5:5" x14ac:dyDescent="0.25">
      <c r="E123" s="8"/>
    </row>
    <row r="124" spans="5:5" x14ac:dyDescent="0.25">
      <c r="E124" s="9"/>
    </row>
    <row r="125" spans="5:5" x14ac:dyDescent="0.25">
      <c r="E125" s="8"/>
    </row>
    <row r="126" spans="5:5" x14ac:dyDescent="0.25">
      <c r="E126" s="9"/>
    </row>
    <row r="127" spans="5:5" x14ac:dyDescent="0.25">
      <c r="E127" s="8"/>
    </row>
    <row r="128" spans="5:5" x14ac:dyDescent="0.25">
      <c r="E128" s="9"/>
    </row>
    <row r="129" spans="5:5" x14ac:dyDescent="0.25">
      <c r="E129" s="8"/>
    </row>
    <row r="130" spans="5:5" x14ac:dyDescent="0.25">
      <c r="E130" s="9"/>
    </row>
    <row r="131" spans="5:5" x14ac:dyDescent="0.25">
      <c r="E131" s="8"/>
    </row>
    <row r="132" spans="5:5" x14ac:dyDescent="0.25">
      <c r="E132" s="9"/>
    </row>
    <row r="133" spans="5:5" x14ac:dyDescent="0.25">
      <c r="E133" s="8"/>
    </row>
    <row r="134" spans="5:5" x14ac:dyDescent="0.25">
      <c r="E134" s="9"/>
    </row>
    <row r="135" spans="5:5" x14ac:dyDescent="0.25">
      <c r="E135" s="8"/>
    </row>
    <row r="136" spans="5:5" x14ac:dyDescent="0.25">
      <c r="E136" s="9"/>
    </row>
    <row r="137" spans="5:5" x14ac:dyDescent="0.25">
      <c r="E137" s="8"/>
    </row>
    <row r="138" spans="5:5" x14ac:dyDescent="0.25">
      <c r="E138" s="9"/>
    </row>
    <row r="139" spans="5:5" x14ac:dyDescent="0.25">
      <c r="E139" s="8"/>
    </row>
    <row r="140" spans="5:5" x14ac:dyDescent="0.25">
      <c r="E140" s="9"/>
    </row>
    <row r="141" spans="5:5" x14ac:dyDescent="0.25">
      <c r="E141" s="8"/>
    </row>
    <row r="142" spans="5:5" x14ac:dyDescent="0.25">
      <c r="E142" s="9"/>
    </row>
    <row r="143" spans="5:5" x14ac:dyDescent="0.25">
      <c r="E143" s="8"/>
    </row>
    <row r="144" spans="5:5" x14ac:dyDescent="0.25">
      <c r="E144" s="9"/>
    </row>
    <row r="145" spans="5:5" x14ac:dyDescent="0.25">
      <c r="E145" s="8"/>
    </row>
    <row r="146" spans="5:5" x14ac:dyDescent="0.25">
      <c r="E146" s="9"/>
    </row>
    <row r="147" spans="5:5" x14ac:dyDescent="0.25">
      <c r="E147" s="8"/>
    </row>
    <row r="148" spans="5:5" x14ac:dyDescent="0.25">
      <c r="E148" s="9"/>
    </row>
    <row r="149" spans="5:5" x14ac:dyDescent="0.25">
      <c r="E149" s="8"/>
    </row>
    <row r="150" spans="5:5" x14ac:dyDescent="0.25">
      <c r="E150" s="9"/>
    </row>
    <row r="151" spans="5:5" x14ac:dyDescent="0.25">
      <c r="E151" s="8"/>
    </row>
    <row r="152" spans="5:5" x14ac:dyDescent="0.25">
      <c r="E152" s="9"/>
    </row>
    <row r="153" spans="5:5" x14ac:dyDescent="0.25">
      <c r="E153" s="8"/>
    </row>
    <row r="154" spans="5:5" x14ac:dyDescent="0.25">
      <c r="E154" s="9"/>
    </row>
    <row r="155" spans="5:5" x14ac:dyDescent="0.25">
      <c r="E155" s="8"/>
    </row>
    <row r="156" spans="5:5" x14ac:dyDescent="0.25">
      <c r="E156" s="9"/>
    </row>
    <row r="157" spans="5:5" x14ac:dyDescent="0.25">
      <c r="E157" s="8"/>
    </row>
    <row r="158" spans="5:5" x14ac:dyDescent="0.25">
      <c r="E158" s="9"/>
    </row>
    <row r="159" spans="5:5" x14ac:dyDescent="0.25">
      <c r="E159" s="8"/>
    </row>
    <row r="160" spans="5:5" x14ac:dyDescent="0.25">
      <c r="E160" s="9"/>
    </row>
    <row r="161" spans="5:5" x14ac:dyDescent="0.25">
      <c r="E161" s="8"/>
    </row>
    <row r="162" spans="5:5" x14ac:dyDescent="0.25">
      <c r="E162" s="9"/>
    </row>
    <row r="163" spans="5:5" x14ac:dyDescent="0.25">
      <c r="E163" s="8"/>
    </row>
    <row r="164" spans="5:5" x14ac:dyDescent="0.25">
      <c r="E164" s="9"/>
    </row>
    <row r="165" spans="5:5" x14ac:dyDescent="0.25">
      <c r="E165" s="8"/>
    </row>
    <row r="166" spans="5:5" x14ac:dyDescent="0.25">
      <c r="E166" s="9"/>
    </row>
    <row r="167" spans="5:5" x14ac:dyDescent="0.25">
      <c r="E167" s="8"/>
    </row>
    <row r="168" spans="5:5" x14ac:dyDescent="0.25">
      <c r="E168" s="9"/>
    </row>
    <row r="169" spans="5:5" x14ac:dyDescent="0.25">
      <c r="E169" s="8"/>
    </row>
    <row r="170" spans="5:5" x14ac:dyDescent="0.25">
      <c r="E170" s="9"/>
    </row>
    <row r="171" spans="5:5" x14ac:dyDescent="0.25">
      <c r="E171" s="8"/>
    </row>
    <row r="172" spans="5:5" x14ac:dyDescent="0.25">
      <c r="E172" s="9"/>
    </row>
    <row r="173" spans="5:5" x14ac:dyDescent="0.25">
      <c r="E173" s="8"/>
    </row>
    <row r="174" spans="5:5" x14ac:dyDescent="0.25">
      <c r="E174" s="9"/>
    </row>
    <row r="175" spans="5:5" x14ac:dyDescent="0.25">
      <c r="E175" s="8"/>
    </row>
    <row r="176" spans="5:5" x14ac:dyDescent="0.25">
      <c r="E176" s="9"/>
    </row>
    <row r="177" spans="5:5" x14ac:dyDescent="0.25">
      <c r="E177" s="8"/>
    </row>
    <row r="178" spans="5:5" x14ac:dyDescent="0.25">
      <c r="E178" s="9"/>
    </row>
    <row r="179" spans="5:5" x14ac:dyDescent="0.25">
      <c r="E179" s="8"/>
    </row>
    <row r="180" spans="5:5" x14ac:dyDescent="0.25">
      <c r="E180" s="9"/>
    </row>
    <row r="181" spans="5:5" x14ac:dyDescent="0.25">
      <c r="E181" s="8"/>
    </row>
    <row r="182" spans="5:5" x14ac:dyDescent="0.25">
      <c r="E182" s="9"/>
    </row>
    <row r="183" spans="5:5" x14ac:dyDescent="0.25">
      <c r="E183" s="8"/>
    </row>
    <row r="184" spans="5:5" x14ac:dyDescent="0.25">
      <c r="E184" s="9"/>
    </row>
    <row r="185" spans="5:5" x14ac:dyDescent="0.25">
      <c r="E185" s="8"/>
    </row>
    <row r="186" spans="5:5" x14ac:dyDescent="0.25">
      <c r="E186" s="9"/>
    </row>
    <row r="187" spans="5:5" x14ac:dyDescent="0.25">
      <c r="E187" s="8"/>
    </row>
  </sheetData>
  <protectedRanges>
    <protectedRange sqref="B3 B5 E3" name="vpis_1_6_2_1"/>
  </protectedRanges>
  <autoFilter ref="B8:F93" xr:uid="{D9400A0C-5A54-43C6-ACCE-07986EA59914}">
    <filterColumn colId="4">
      <customFilters>
        <customFilter operator="greaterThan" val="0"/>
      </customFilters>
    </filterColumn>
  </autoFilter>
  <mergeCells count="4">
    <mergeCell ref="B3:C3"/>
    <mergeCell ref="B5:C5"/>
    <mergeCell ref="E3:G3"/>
    <mergeCell ref="E5:G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253C-6239-462A-9C88-FA86E139B8F5}">
  <sheetPr codeName="List1">
    <tabColor theme="1" tint="4.9989318521683403E-2"/>
    <pageSetUpPr fitToPage="1"/>
  </sheetPr>
  <dimension ref="A1:AB28"/>
  <sheetViews>
    <sheetView showGridLines="0" zoomScale="85" zoomScaleNormal="85" zoomScaleSheetLayoutView="55" workbookViewId="0">
      <pane ySplit="6" topLeftCell="A7" activePane="bottomLeft" state="frozen"/>
      <selection pane="bottomLeft" activeCell="C25" sqref="C25"/>
    </sheetView>
  </sheetViews>
  <sheetFormatPr defaultColWidth="8.85546875" defaultRowHeight="12" customHeight="1" x14ac:dyDescent="0.25"/>
  <cols>
    <col min="1" max="1" width="12.42578125" style="29" customWidth="1"/>
    <col min="2" max="2" width="19" style="30" bestFit="1" customWidth="1"/>
    <col min="3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150" customHeight="1" x14ac:dyDescent="0.25"/>
    <row r="2" spans="1:28" ht="18" customHeight="1" thickBot="1" x14ac:dyDescent="0.3"/>
    <row r="3" spans="1:28" ht="18" customHeight="1" x14ac:dyDescent="0.25">
      <c r="A3" s="549" t="s">
        <v>0</v>
      </c>
      <c r="B3" s="550"/>
      <c r="C3" s="550"/>
      <c r="D3" s="551">
        <f>SUM(G7:G25)</f>
        <v>0</v>
      </c>
      <c r="E3" s="552"/>
    </row>
    <row r="4" spans="1:28" ht="18" customHeight="1" thickBot="1" x14ac:dyDescent="0.3">
      <c r="A4" s="547" t="s">
        <v>19</v>
      </c>
      <c r="B4" s="548"/>
      <c r="C4" s="548"/>
      <c r="D4" s="553">
        <f>SUM(L7:U25)</f>
        <v>0</v>
      </c>
      <c r="E4" s="554"/>
    </row>
    <row r="5" spans="1:28" ht="24.95" customHeight="1" thickBot="1" x14ac:dyDescent="0.25">
      <c r="J5" s="70" t="s">
        <v>194</v>
      </c>
      <c r="K5" s="70" t="s">
        <v>196</v>
      </c>
      <c r="L5" s="33">
        <f t="shared" ref="L5:T5" si="0">SUM(L7:L25)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>SUM(U7:U25)</f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658</v>
      </c>
      <c r="B6" s="34" t="s">
        <v>86</v>
      </c>
      <c r="C6" s="35" t="s">
        <v>12</v>
      </c>
      <c r="D6" s="35" t="s">
        <v>13</v>
      </c>
      <c r="E6" s="35" t="s">
        <v>3</v>
      </c>
      <c r="F6" s="60" t="s">
        <v>237</v>
      </c>
      <c r="G6" s="65" t="s">
        <v>85</v>
      </c>
      <c r="H6" s="66" t="s">
        <v>10</v>
      </c>
      <c r="I6" s="66" t="s">
        <v>11</v>
      </c>
      <c r="J6" s="66" t="s">
        <v>193</v>
      </c>
      <c r="K6" s="67" t="s">
        <v>195</v>
      </c>
      <c r="L6" s="61" t="s">
        <v>657</v>
      </c>
      <c r="M6" s="27" t="s">
        <v>84</v>
      </c>
      <c r="N6" s="27" t="s">
        <v>14</v>
      </c>
      <c r="O6" s="28" t="s">
        <v>926</v>
      </c>
      <c r="P6" s="28" t="s">
        <v>5</v>
      </c>
      <c r="Q6" s="27" t="s">
        <v>6</v>
      </c>
      <c r="R6" s="27" t="s">
        <v>7</v>
      </c>
      <c r="S6" s="27" t="s">
        <v>927</v>
      </c>
      <c r="T6" s="27" t="s">
        <v>198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218</v>
      </c>
      <c r="B7" s="88" t="s">
        <v>199</v>
      </c>
      <c r="C7" s="73">
        <v>1</v>
      </c>
      <c r="D7" s="74" t="s">
        <v>450</v>
      </c>
      <c r="E7" s="73">
        <v>17.8</v>
      </c>
      <c r="F7" s="75">
        <v>295</v>
      </c>
      <c r="G7" s="85">
        <f>Tabela1[[#This Row],[PRICE]]*H7</f>
        <v>0</v>
      </c>
      <c r="H7" s="62">
        <f>SUM(Tabela1[[#This Row],[RAL 1023]:[RAL 9005]])</f>
        <v>0</v>
      </c>
      <c r="I7" s="62">
        <f>Tabela1[[#This Row],[SETS]]*Tabela1[[#This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219</v>
      </c>
      <c r="B8" s="89" t="s">
        <v>200</v>
      </c>
      <c r="C8" s="47">
        <v>1</v>
      </c>
      <c r="D8" s="48" t="s">
        <v>449</v>
      </c>
      <c r="E8" s="47">
        <v>15.4</v>
      </c>
      <c r="F8" s="49">
        <v>295</v>
      </c>
      <c r="G8" s="85">
        <f>Tabela1[[#This Row],[PRICE]]*H8</f>
        <v>0</v>
      </c>
      <c r="H8" s="62">
        <f>SUM(Tabela1[[#This Row],[RAL 1023]:[RAL 9005]])</f>
        <v>0</v>
      </c>
      <c r="I8" s="62">
        <f>Tabela1[[#This Row],[SETS]]*Tabela1[[#This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220</v>
      </c>
      <c r="B9" s="89" t="s">
        <v>201</v>
      </c>
      <c r="C9" s="47">
        <v>1</v>
      </c>
      <c r="D9" s="78" t="s">
        <v>448</v>
      </c>
      <c r="E9" s="77">
        <v>15</v>
      </c>
      <c r="F9" s="79">
        <v>295</v>
      </c>
      <c r="G9" s="85">
        <f>Tabela1[[#This Row],[PRICE]]*H9</f>
        <v>0</v>
      </c>
      <c r="H9" s="62">
        <f>SUM(Tabela1[[#This Row],[RAL 1023]:[RAL 9005]])</f>
        <v>0</v>
      </c>
      <c r="I9" s="62">
        <f>Tabela1[[#This Row],[SETS]]*Tabela1[[#This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221</v>
      </c>
      <c r="B10" s="89" t="s">
        <v>202</v>
      </c>
      <c r="C10" s="47">
        <v>1</v>
      </c>
      <c r="D10" s="48" t="s">
        <v>447</v>
      </c>
      <c r="E10" s="47">
        <v>12.8</v>
      </c>
      <c r="F10" s="49">
        <v>295</v>
      </c>
      <c r="G10" s="85">
        <f>Tabela1[[#This Row],[PRICE]]*H10</f>
        <v>0</v>
      </c>
      <c r="H10" s="62">
        <f>SUM(Tabela1[[#This Row],[RAL 1023]:[RAL 9005]])</f>
        <v>0</v>
      </c>
      <c r="I10" s="62">
        <f>Tabela1[[#This Row],[SETS]]*Tabela1[[#This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222</v>
      </c>
      <c r="B11" s="89" t="s">
        <v>203</v>
      </c>
      <c r="C11" s="47">
        <v>1</v>
      </c>
      <c r="D11" s="78" t="s">
        <v>446</v>
      </c>
      <c r="E11" s="77">
        <v>2.9</v>
      </c>
      <c r="F11" s="79">
        <v>240</v>
      </c>
      <c r="G11" s="85">
        <f>Tabela1[[#This Row],[PRICE]]*H11</f>
        <v>0</v>
      </c>
      <c r="H11" s="62">
        <f>SUM(Tabela1[[#This Row],[RAL 1023]:[RAL 9005]])</f>
        <v>0</v>
      </c>
      <c r="I11" s="62">
        <f>Tabela1[[#This Row],[SETS]]*Tabela1[[#This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223</v>
      </c>
      <c r="B12" s="89" t="s">
        <v>204</v>
      </c>
      <c r="C12" s="47">
        <v>1</v>
      </c>
      <c r="D12" s="48" t="s">
        <v>446</v>
      </c>
      <c r="E12" s="47">
        <v>2.9</v>
      </c>
      <c r="F12" s="49">
        <v>240</v>
      </c>
      <c r="G12" s="85">
        <f>Tabela1[[#This Row],[PRICE]]*H12</f>
        <v>0</v>
      </c>
      <c r="H12" s="62">
        <f>SUM(Tabela1[[#This Row],[RAL 1023]:[RAL 9005]])</f>
        <v>0</v>
      </c>
      <c r="I12" s="62">
        <f>Tabela1[[#This Row],[SETS]]*Tabela1[[#This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224</v>
      </c>
      <c r="B13" s="89" t="s">
        <v>205</v>
      </c>
      <c r="C13" s="47">
        <v>1</v>
      </c>
      <c r="D13" s="78" t="s">
        <v>446</v>
      </c>
      <c r="E13" s="77">
        <v>2.9</v>
      </c>
      <c r="F13" s="79">
        <v>240</v>
      </c>
      <c r="G13" s="85">
        <f>Tabela1[[#This Row],[PRICE]]*H13</f>
        <v>0</v>
      </c>
      <c r="H13" s="62">
        <f>SUM(Tabela1[[#This Row],[RAL 1023]:[RAL 9005]])</f>
        <v>0</v>
      </c>
      <c r="I13" s="62">
        <f>Tabela1[[#This Row],[SETS]]*Tabela1[[#This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225</v>
      </c>
      <c r="B14" s="89" t="s">
        <v>206</v>
      </c>
      <c r="C14" s="47">
        <v>1</v>
      </c>
      <c r="D14" s="48" t="s">
        <v>446</v>
      </c>
      <c r="E14" s="47">
        <v>3.5</v>
      </c>
      <c r="F14" s="49">
        <v>60</v>
      </c>
      <c r="G14" s="85">
        <f>Tabela1[[#This Row],[PRICE]]*H14</f>
        <v>0</v>
      </c>
      <c r="H14" s="62">
        <f>SUM(Tabela1[[#This Row],[RAL 1023]:[RAL 9005]])</f>
        <v>0</v>
      </c>
      <c r="I14" s="62">
        <f>Tabela1[[#This Row],[SETS]]*Tabela1[[#This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226</v>
      </c>
      <c r="B15" s="89" t="s">
        <v>207</v>
      </c>
      <c r="C15" s="47">
        <v>1</v>
      </c>
      <c r="D15" s="78" t="s">
        <v>446</v>
      </c>
      <c r="E15" s="77">
        <v>3.5</v>
      </c>
      <c r="F15" s="79">
        <v>60</v>
      </c>
      <c r="G15" s="85">
        <f>Tabela1[[#This Row],[PRICE]]*H15</f>
        <v>0</v>
      </c>
      <c r="H15" s="62">
        <f>SUM(Tabela1[[#This Row],[RAL 1023]:[RAL 9005]])</f>
        <v>0</v>
      </c>
      <c r="I15" s="62">
        <f>Tabela1[[#This Row],[SETS]]*Tabela1[[#This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thickBot="1" x14ac:dyDescent="0.25">
      <c r="A16" s="45" t="s">
        <v>227</v>
      </c>
      <c r="B16" s="89" t="s">
        <v>208</v>
      </c>
      <c r="C16" s="47">
        <v>1</v>
      </c>
      <c r="D16" s="48" t="s">
        <v>446</v>
      </c>
      <c r="E16" s="47">
        <v>3.5</v>
      </c>
      <c r="F16" s="49">
        <v>60</v>
      </c>
      <c r="G16" s="85">
        <f>Tabela1[[#This Row],[PRICE]]*H16</f>
        <v>0</v>
      </c>
      <c r="H16" s="62">
        <f>SUM(Tabela1[[#This Row],[RAL 1023]:[RAL 9005]])</f>
        <v>0</v>
      </c>
      <c r="I16" s="62">
        <f>Tabela1[[#This Row],[SETS]]*Tabela1[[#This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  <row r="17" spans="1:28" ht="12" customHeight="1" thickBot="1" x14ac:dyDescent="0.25">
      <c r="A17" s="29" t="s">
        <v>228</v>
      </c>
      <c r="B17" s="89" t="s">
        <v>209</v>
      </c>
      <c r="C17" s="47">
        <v>1</v>
      </c>
      <c r="D17" s="78" t="s">
        <v>446</v>
      </c>
      <c r="E17" s="77">
        <v>3.5</v>
      </c>
      <c r="F17" s="79">
        <v>60</v>
      </c>
      <c r="G17" s="85">
        <f>Tabela1[[#This Row],[PRICE]]*H17</f>
        <v>0</v>
      </c>
      <c r="H17" s="62">
        <f>SUM(Tabela1[[#This Row],[RAL 1023]:[RAL 9005]])</f>
        <v>0</v>
      </c>
      <c r="I17" s="62">
        <f>Tabela1[[#This Row],[SETS]]*Tabela1[[#This Row],[Weight (kg)]]</f>
        <v>0</v>
      </c>
      <c r="J17" s="63"/>
      <c r="K17" s="68"/>
      <c r="L17" s="50"/>
      <c r="M17" s="51"/>
      <c r="N17" s="52"/>
      <c r="O17" s="53"/>
      <c r="P17" s="54"/>
      <c r="Q17" s="55"/>
      <c r="R17" s="56"/>
      <c r="S17" s="72"/>
      <c r="T17" s="57"/>
      <c r="U17" s="44"/>
      <c r="X17" s="30"/>
      <c r="Y17" s="30"/>
      <c r="Z17" s="30"/>
      <c r="AA17" s="30"/>
      <c r="AB17" s="30"/>
    </row>
    <row r="18" spans="1:28" ht="12" customHeight="1" thickBot="1" x14ac:dyDescent="0.25">
      <c r="A18" s="45" t="s">
        <v>229</v>
      </c>
      <c r="B18" s="89" t="s">
        <v>210</v>
      </c>
      <c r="C18" s="47">
        <v>1</v>
      </c>
      <c r="D18" s="48" t="s">
        <v>446</v>
      </c>
      <c r="E18" s="47">
        <v>3.5</v>
      </c>
      <c r="F18" s="49">
        <v>60</v>
      </c>
      <c r="G18" s="85">
        <f>Tabela1[[#This Row],[PRICE]]*H18</f>
        <v>0</v>
      </c>
      <c r="H18" s="62">
        <f>SUM(Tabela1[[#This Row],[RAL 1023]:[RAL 9005]])</f>
        <v>0</v>
      </c>
      <c r="I18" s="62">
        <f>Tabela1[[#This Row],[SETS]]*Tabela1[[#This Row],[Weight (kg)]]</f>
        <v>0</v>
      </c>
      <c r="J18" s="64"/>
      <c r="K18" s="69"/>
      <c r="L18" s="50"/>
      <c r="M18" s="51"/>
      <c r="N18" s="52"/>
      <c r="O18" s="53"/>
      <c r="P18" s="54"/>
      <c r="Q18" s="55"/>
      <c r="R18" s="56"/>
      <c r="S18" s="72"/>
      <c r="T18" s="57"/>
      <c r="U18" s="44"/>
      <c r="X18" s="30"/>
      <c r="Y18" s="30"/>
      <c r="Z18" s="30"/>
      <c r="AA18" s="30"/>
      <c r="AB18" s="30"/>
    </row>
    <row r="19" spans="1:28" ht="12" customHeight="1" thickBot="1" x14ac:dyDescent="0.25">
      <c r="A19" s="29" t="s">
        <v>230</v>
      </c>
      <c r="B19" s="89" t="s">
        <v>211</v>
      </c>
      <c r="C19" s="47">
        <v>1</v>
      </c>
      <c r="D19" s="78" t="s">
        <v>446</v>
      </c>
      <c r="E19" s="77">
        <v>3.5</v>
      </c>
      <c r="F19" s="79">
        <v>60</v>
      </c>
      <c r="G19" s="85">
        <f>Tabela1[[#This Row],[PRICE]]*H19</f>
        <v>0</v>
      </c>
      <c r="H19" s="62">
        <f>SUM(Tabela1[[#This Row],[RAL 1023]:[RAL 9005]])</f>
        <v>0</v>
      </c>
      <c r="I19" s="62">
        <f>Tabela1[[#This Row],[SETS]]*Tabela1[[#This Row],[Weight (kg)]]</f>
        <v>0</v>
      </c>
      <c r="J19" s="63"/>
      <c r="K19" s="68"/>
      <c r="L19" s="50"/>
      <c r="M19" s="51"/>
      <c r="N19" s="52"/>
      <c r="O19" s="53"/>
      <c r="P19" s="54"/>
      <c r="Q19" s="55"/>
      <c r="R19" s="56"/>
      <c r="S19" s="72"/>
      <c r="T19" s="57"/>
      <c r="U19" s="44"/>
      <c r="X19" s="30"/>
      <c r="Y19" s="30"/>
      <c r="Z19" s="30"/>
      <c r="AA19" s="30"/>
      <c r="AB19" s="30"/>
    </row>
    <row r="20" spans="1:28" ht="12" customHeight="1" thickBot="1" x14ac:dyDescent="0.25">
      <c r="A20" s="45" t="s">
        <v>231</v>
      </c>
      <c r="B20" s="89" t="s">
        <v>212</v>
      </c>
      <c r="C20" s="47">
        <v>1</v>
      </c>
      <c r="D20" s="48" t="s">
        <v>446</v>
      </c>
      <c r="E20" s="47">
        <v>4</v>
      </c>
      <c r="F20" s="49">
        <v>185</v>
      </c>
      <c r="G20" s="85">
        <f>Tabela1[[#This Row],[PRICE]]*H20</f>
        <v>0</v>
      </c>
      <c r="H20" s="62">
        <f>SUM(Tabela1[[#This Row],[RAL 1023]:[RAL 9005]])</f>
        <v>0</v>
      </c>
      <c r="I20" s="62">
        <f>Tabela1[[#This Row],[SETS]]*Tabela1[[#This Row],[Weight (kg)]]</f>
        <v>0</v>
      </c>
      <c r="J20" s="64"/>
      <c r="K20" s="69"/>
      <c r="L20" s="50"/>
      <c r="M20" s="51"/>
      <c r="N20" s="52"/>
      <c r="O20" s="53"/>
      <c r="P20" s="54"/>
      <c r="Q20" s="55"/>
      <c r="R20" s="56"/>
      <c r="S20" s="72"/>
      <c r="T20" s="57"/>
      <c r="U20" s="44"/>
      <c r="X20" s="30"/>
      <c r="Y20" s="30"/>
      <c r="Z20" s="30"/>
      <c r="AA20" s="30"/>
      <c r="AB20" s="30"/>
    </row>
    <row r="21" spans="1:28" ht="12" customHeight="1" thickBot="1" x14ac:dyDescent="0.25">
      <c r="A21" s="29" t="s">
        <v>232</v>
      </c>
      <c r="B21" s="89" t="s">
        <v>213</v>
      </c>
      <c r="C21" s="47">
        <v>1</v>
      </c>
      <c r="D21" s="78" t="s">
        <v>446</v>
      </c>
      <c r="E21" s="77">
        <v>4</v>
      </c>
      <c r="F21" s="79">
        <v>185</v>
      </c>
      <c r="G21" s="85">
        <f>Tabela1[[#This Row],[PRICE]]*H21</f>
        <v>0</v>
      </c>
      <c r="H21" s="62">
        <f>SUM(Tabela1[[#This Row],[RAL 1023]:[RAL 9005]])</f>
        <v>0</v>
      </c>
      <c r="I21" s="62">
        <f>Tabela1[[#This Row],[SETS]]*Tabela1[[#This Row],[Weight (kg)]]</f>
        <v>0</v>
      </c>
      <c r="J21" s="63"/>
      <c r="K21" s="68"/>
      <c r="L21" s="50"/>
      <c r="M21" s="51"/>
      <c r="N21" s="52"/>
      <c r="O21" s="53"/>
      <c r="P21" s="54"/>
      <c r="Q21" s="55"/>
      <c r="R21" s="56"/>
      <c r="S21" s="72"/>
      <c r="T21" s="57"/>
      <c r="U21" s="44"/>
      <c r="X21" s="30"/>
      <c r="Y21" s="30"/>
      <c r="Z21" s="30"/>
      <c r="AA21" s="30"/>
      <c r="AB21" s="30"/>
    </row>
    <row r="22" spans="1:28" ht="12" customHeight="1" thickBot="1" x14ac:dyDescent="0.25">
      <c r="A22" s="45" t="s">
        <v>233</v>
      </c>
      <c r="B22" s="89" t="s">
        <v>214</v>
      </c>
      <c r="C22" s="47">
        <v>1</v>
      </c>
      <c r="D22" s="48" t="s">
        <v>446</v>
      </c>
      <c r="E22" s="47">
        <v>4</v>
      </c>
      <c r="F22" s="49">
        <v>185</v>
      </c>
      <c r="G22" s="85">
        <f>Tabela1[[#This Row],[PRICE]]*H22</f>
        <v>0</v>
      </c>
      <c r="H22" s="62">
        <f>SUM(Tabela1[[#This Row],[RAL 1023]:[RAL 9005]])</f>
        <v>0</v>
      </c>
      <c r="I22" s="62">
        <f>Tabela1[[#This Row],[SETS]]*Tabela1[[#This Row],[Weight (kg)]]</f>
        <v>0</v>
      </c>
      <c r="J22" s="64"/>
      <c r="K22" s="69"/>
      <c r="L22" s="50"/>
      <c r="M22" s="51"/>
      <c r="N22" s="52"/>
      <c r="O22" s="53"/>
      <c r="P22" s="54"/>
      <c r="Q22" s="55"/>
      <c r="R22" s="56"/>
      <c r="S22" s="72"/>
      <c r="T22" s="57"/>
      <c r="U22" s="44"/>
      <c r="X22" s="30"/>
      <c r="Y22" s="30"/>
      <c r="Z22" s="30"/>
      <c r="AA22" s="30"/>
      <c r="AB22" s="30"/>
    </row>
    <row r="23" spans="1:28" ht="12" customHeight="1" thickBot="1" x14ac:dyDescent="0.25">
      <c r="A23" s="29" t="s">
        <v>234</v>
      </c>
      <c r="B23" s="89" t="s">
        <v>215</v>
      </c>
      <c r="C23" s="47">
        <v>1</v>
      </c>
      <c r="D23" s="78" t="s">
        <v>446</v>
      </c>
      <c r="E23" s="77">
        <v>4</v>
      </c>
      <c r="F23" s="79">
        <v>175</v>
      </c>
      <c r="G23" s="85">
        <f>Tabela1[[#This Row],[PRICE]]*H23</f>
        <v>0</v>
      </c>
      <c r="H23" s="62">
        <f>SUM(Tabela1[[#This Row],[RAL 1023]:[RAL 9005]])</f>
        <v>0</v>
      </c>
      <c r="I23" s="62">
        <f>Tabela1[[#This Row],[SETS]]*Tabela1[[#This Row],[Weight (kg)]]</f>
        <v>0</v>
      </c>
      <c r="J23" s="63"/>
      <c r="K23" s="68"/>
      <c r="L23" s="50"/>
      <c r="M23" s="51"/>
      <c r="N23" s="52"/>
      <c r="O23" s="53"/>
      <c r="P23" s="54"/>
      <c r="Q23" s="55"/>
      <c r="R23" s="56"/>
      <c r="S23" s="72"/>
      <c r="T23" s="57"/>
      <c r="U23" s="44"/>
      <c r="X23" s="30"/>
      <c r="Y23" s="30"/>
      <c r="Z23" s="30"/>
      <c r="AA23" s="30"/>
      <c r="AB23" s="30"/>
    </row>
    <row r="24" spans="1:28" ht="12" customHeight="1" thickBot="1" x14ac:dyDescent="0.25">
      <c r="A24" s="45" t="s">
        <v>235</v>
      </c>
      <c r="B24" s="89" t="s">
        <v>216</v>
      </c>
      <c r="C24" s="47">
        <v>1</v>
      </c>
      <c r="D24" s="48" t="s">
        <v>446</v>
      </c>
      <c r="E24" s="47">
        <v>4</v>
      </c>
      <c r="F24" s="49">
        <v>175</v>
      </c>
      <c r="G24" s="85">
        <f>Tabela1[[#This Row],[PRICE]]*H24</f>
        <v>0</v>
      </c>
      <c r="H24" s="62">
        <f>SUM(Tabela1[[#This Row],[RAL 1023]:[RAL 9005]])</f>
        <v>0</v>
      </c>
      <c r="I24" s="62">
        <f>Tabela1[[#This Row],[SETS]]*Tabela1[[#This Row],[Weight (kg)]]</f>
        <v>0</v>
      </c>
      <c r="J24" s="64"/>
      <c r="K24" s="69"/>
      <c r="L24" s="50"/>
      <c r="M24" s="51"/>
      <c r="N24" s="52"/>
      <c r="O24" s="53"/>
      <c r="P24" s="54"/>
      <c r="Q24" s="55"/>
      <c r="R24" s="56"/>
      <c r="S24" s="72"/>
      <c r="T24" s="57"/>
      <c r="U24" s="44"/>
      <c r="X24" s="30"/>
      <c r="Y24" s="30"/>
      <c r="Z24" s="30"/>
      <c r="AA24" s="30"/>
      <c r="AB24" s="30"/>
    </row>
    <row r="25" spans="1:28" ht="12" customHeight="1" x14ac:dyDescent="0.2">
      <c r="A25" s="29" t="s">
        <v>236</v>
      </c>
      <c r="B25" s="89" t="s">
        <v>217</v>
      </c>
      <c r="C25" s="47">
        <v>1</v>
      </c>
      <c r="D25" s="78" t="s">
        <v>446</v>
      </c>
      <c r="E25" s="77">
        <v>4</v>
      </c>
      <c r="F25" s="79">
        <v>175</v>
      </c>
      <c r="G25" s="85">
        <f>Tabela1[[#This Row],[PRICE]]*H25</f>
        <v>0</v>
      </c>
      <c r="H25" s="62">
        <f>SUM(Tabela1[[#This Row],[RAL 1023]:[RAL 9005]])</f>
        <v>0</v>
      </c>
      <c r="I25" s="62">
        <f>Tabela1[[#This Row],[SETS]]*Tabela1[[#This Row],[Weight (kg)]]</f>
        <v>0</v>
      </c>
      <c r="J25" s="63"/>
      <c r="K25" s="68"/>
      <c r="L25" s="50"/>
      <c r="M25" s="51"/>
      <c r="N25" s="52"/>
      <c r="O25" s="53"/>
      <c r="P25" s="54"/>
      <c r="Q25" s="55"/>
      <c r="R25" s="56"/>
      <c r="S25" s="72"/>
      <c r="T25" s="57"/>
      <c r="U25" s="44"/>
      <c r="X25" s="30"/>
      <c r="Y25" s="30"/>
      <c r="Z25" s="30"/>
      <c r="AA25" s="30"/>
      <c r="AB25" s="30"/>
    </row>
    <row r="26" spans="1:28" ht="12" customHeight="1" x14ac:dyDescent="0.25">
      <c r="B26" s="87"/>
    </row>
    <row r="27" spans="1:28" ht="12" customHeight="1" x14ac:dyDescent="0.2">
      <c r="A27" s="59"/>
      <c r="B27" s="58"/>
      <c r="C27" s="58"/>
      <c r="D27" s="58"/>
      <c r="E27" s="58"/>
      <c r="F27" s="58"/>
      <c r="G27" s="58"/>
      <c r="H27" s="58"/>
      <c r="X27" s="30"/>
      <c r="Y27" s="30"/>
      <c r="Z27" s="30"/>
      <c r="AA27" s="30"/>
      <c r="AB27" s="30"/>
    </row>
    <row r="28" spans="1:28" ht="12" customHeight="1" x14ac:dyDescent="0.2">
      <c r="A28" s="59"/>
      <c r="B28" s="58"/>
      <c r="C28" s="58"/>
      <c r="D28" s="58"/>
      <c r="E28" s="58"/>
      <c r="F28" s="58"/>
      <c r="G28" s="58"/>
      <c r="H28" s="58"/>
      <c r="J28" s="31"/>
      <c r="W28" s="58"/>
      <c r="X28" s="30"/>
      <c r="Y28" s="30"/>
      <c r="Z28" s="30"/>
      <c r="AA28" s="30"/>
      <c r="AB28" s="30"/>
    </row>
  </sheetData>
  <mergeCells count="4">
    <mergeCell ref="A4:C4"/>
    <mergeCell ref="A3:C3"/>
    <mergeCell ref="D3:E3"/>
    <mergeCell ref="D4:E4"/>
  </mergeCells>
  <phoneticPr fontId="14" type="noConversion"/>
  <hyperlinks>
    <hyperlink ref="B7" location="Catalogue!A5" display="Pyramid PL 1.1." xr:uid="{D7F20CF3-86B1-49DA-A16F-F8FB6EC62846}"/>
    <hyperlink ref="B8" location="Catalogue!E5" display="Pyramid PL 2.1." xr:uid="{89D471A7-866F-4125-BD5A-6DBDCA50FA11}"/>
    <hyperlink ref="B9" location="Catalogue!I5" display="Pyramid PL 3.1." xr:uid="{CD37E9D3-8AC4-4CB8-9637-5BFF4B7D11A9}"/>
    <hyperlink ref="B10" location="Catalogue!M5" display="Pyramid PL 6.1." xr:uid="{6EC33B59-7C24-4BA0-814D-9506B47C8D51}"/>
    <hyperlink ref="B11" location="Catalogue!Q5" display="Polyester Insert 1" xr:uid="{D7688D7B-7525-41BB-862F-6C820FF51DA4}"/>
    <hyperlink ref="B12" location="Catalogue!A17" display="Polyester Insert 2" xr:uid="{83EB5C9A-88A0-4CFB-99D4-905D52808DE3}"/>
    <hyperlink ref="B13" location="Catalogue!E17" display="Polyester Insert 3" xr:uid="{A7DDB250-E90E-4CAB-969F-0DF30FB5F258}"/>
    <hyperlink ref="B14" location="Catalogue!I17" display="Wood Insert P_1" xr:uid="{ECCEA586-0BC6-4686-9C3E-C2443BE6976C}"/>
    <hyperlink ref="B15" location="Catalogue!M17" display="Wood Insert P_2" xr:uid="{96CDE17B-32EB-469E-A4FC-13E44EC29B7A}"/>
    <hyperlink ref="B16" location="Catalogue!Q17" display="Wood Insert P_3" xr:uid="{72AD2766-9567-452A-8B44-851D4E15E03A}"/>
    <hyperlink ref="B17" location="Catalogue!A28" display="Wood Insert P_4" xr:uid="{989C59E4-EED9-4D35-835A-A535DE1E96CD}"/>
    <hyperlink ref="B18" location="Catalogue!E28" display="Wood Insert P_5" xr:uid="{CF50E453-4B4E-498C-B65A-711656E87825}"/>
    <hyperlink ref="B19" location="Catalogue!I28" display="Wood Insert P_6" xr:uid="{640D4E13-754D-4942-B0E2-4416417F0691}"/>
    <hyperlink ref="B20" location="Catalogue!M28" display="Wood Insert PENTAGON_1" xr:uid="{B68A943A-DF21-40F8-9EE0-19EA5D348FE9}"/>
    <hyperlink ref="B21" location="Catalogue!Q28" display="Wood Insert PENTAGON_2" xr:uid="{913AB412-0873-4F9A-9694-C9AFCB9265D4}"/>
    <hyperlink ref="B22" location="Catalogue!A40" display="Wood Insert PENTAGON_3" xr:uid="{96FBAF3F-F3B8-4594-8160-84AA1D8374CF}"/>
    <hyperlink ref="B23" location="Catalogue!E40" display="Wood Insert ALL ANGLES_2" xr:uid="{434112CB-80B6-4ACD-9BEE-8C5AC58DAE0C}"/>
    <hyperlink ref="B24" location="Catalogue!I40" display="Wood Insert ALL ANGLES_4" xr:uid="{65972EA2-CBA3-451A-ABBC-6C0C18701B29}"/>
    <hyperlink ref="B25" location="Catalogue!M40" display="Wood Insert ALL ANGLES_6" xr:uid="{A22A8844-216A-478D-BB89-0BAB0E37783E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E8DA3-AC53-4838-9C1F-EB430BC0AA40}">
  <sheetPr codeName="List3">
    <tabColor theme="1" tint="4.9989318521683403E-2"/>
    <pageSetUpPr fitToPage="1"/>
  </sheetPr>
  <dimension ref="A1:AB16"/>
  <sheetViews>
    <sheetView showGridLines="0" zoomScale="85" zoomScaleNormal="85" zoomScaleSheetLayoutView="55" workbookViewId="0">
      <pane ySplit="6" topLeftCell="A7" activePane="bottomLeft" state="frozen"/>
      <selection pane="bottomLeft" activeCell="B1" sqref="B1"/>
    </sheetView>
  </sheetViews>
  <sheetFormatPr defaultColWidth="8.85546875" defaultRowHeight="15" x14ac:dyDescent="0.25"/>
  <cols>
    <col min="1" max="1" width="12.42578125" style="29" customWidth="1"/>
    <col min="2" max="2" width="22.5703125" style="30" bestFit="1" customWidth="1"/>
    <col min="3" max="3" width="8.5703125" style="30" customWidth="1"/>
    <col min="4" max="4" width="11.140625" style="30" customWidth="1"/>
    <col min="5" max="5" width="9.5703125" style="30" customWidth="1"/>
    <col min="6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69.95" customHeight="1" x14ac:dyDescent="0.25"/>
    <row r="2" spans="1:28" ht="69.95" customHeight="1" thickBot="1" x14ac:dyDescent="0.3"/>
    <row r="3" spans="1:28" ht="18" customHeight="1" x14ac:dyDescent="0.25">
      <c r="A3" s="549" t="s">
        <v>0</v>
      </c>
      <c r="B3" s="550"/>
      <c r="C3" s="555">
        <f>SUM(G7:G16)</f>
        <v>0</v>
      </c>
      <c r="D3" s="552"/>
    </row>
    <row r="4" spans="1:28" ht="18" customHeight="1" thickBot="1" x14ac:dyDescent="0.3">
      <c r="A4" s="547" t="s">
        <v>19</v>
      </c>
      <c r="B4" s="548"/>
      <c r="C4" s="556">
        <f>SUM(L7:U16)</f>
        <v>0</v>
      </c>
      <c r="D4" s="554"/>
    </row>
    <row r="5" spans="1:28" ht="30" customHeight="1" thickBot="1" x14ac:dyDescent="0.25">
      <c r="H5" s="32"/>
      <c r="J5" s="70" t="s">
        <v>194</v>
      </c>
      <c r="K5" s="70" t="s">
        <v>196</v>
      </c>
      <c r="L5" s="33">
        <f t="shared" ref="L5:U5" si="0">SUM(L7:L16)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 t="shared" si="0"/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658</v>
      </c>
      <c r="B6" s="34" t="s">
        <v>86</v>
      </c>
      <c r="C6" s="35" t="s">
        <v>12</v>
      </c>
      <c r="D6" s="35" t="s">
        <v>13</v>
      </c>
      <c r="E6" s="35" t="s">
        <v>3</v>
      </c>
      <c r="F6" s="60" t="s">
        <v>237</v>
      </c>
      <c r="G6" s="65" t="s">
        <v>85</v>
      </c>
      <c r="H6" s="66" t="s">
        <v>10</v>
      </c>
      <c r="I6" s="66" t="s">
        <v>11</v>
      </c>
      <c r="J6" s="66" t="s">
        <v>193</v>
      </c>
      <c r="K6" s="67" t="s">
        <v>195</v>
      </c>
      <c r="L6" s="61" t="s">
        <v>657</v>
      </c>
      <c r="M6" s="27" t="s">
        <v>84</v>
      </c>
      <c r="N6" s="27" t="s">
        <v>14</v>
      </c>
      <c r="O6" s="28" t="s">
        <v>926</v>
      </c>
      <c r="P6" s="28" t="s">
        <v>5</v>
      </c>
      <c r="Q6" s="27" t="s">
        <v>6</v>
      </c>
      <c r="R6" s="27" t="s">
        <v>7</v>
      </c>
      <c r="S6" s="27" t="s">
        <v>927</v>
      </c>
      <c r="T6" s="27" t="s">
        <v>198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248</v>
      </c>
      <c r="B7" s="86" t="s">
        <v>238</v>
      </c>
      <c r="C7" s="73">
        <v>1</v>
      </c>
      <c r="D7" s="74" t="s">
        <v>436</v>
      </c>
      <c r="E7" s="73">
        <v>1.1000000000000001</v>
      </c>
      <c r="F7" s="75">
        <v>360</v>
      </c>
      <c r="G7" s="85">
        <f>Tabela13[[#This Row],[PRICE]]*H7</f>
        <v>0</v>
      </c>
      <c r="H7" s="62">
        <f>SUM(Tabela13[[#This Row],[RAL 1023]:[RAL 9005]])</f>
        <v>0</v>
      </c>
      <c r="I7" s="62">
        <f>Tabela13[[#This Row],[SETS]]*Tabela13[[#This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249</v>
      </c>
      <c r="B8" s="46" t="s">
        <v>239</v>
      </c>
      <c r="C8" s="47">
        <v>1</v>
      </c>
      <c r="D8" s="48" t="s">
        <v>437</v>
      </c>
      <c r="E8" s="47">
        <v>1.9</v>
      </c>
      <c r="F8" s="49">
        <v>370</v>
      </c>
      <c r="G8" s="85">
        <f>Tabela13[[#This Row],[PRICE]]*H8</f>
        <v>0</v>
      </c>
      <c r="H8" s="62">
        <f>SUM(Tabela13[[#This Row],[RAL 1023]:[RAL 9005]])</f>
        <v>0</v>
      </c>
      <c r="I8" s="62">
        <f>Tabela13[[#This Row],[SETS]]*Tabela13[[#This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250</v>
      </c>
      <c r="B9" s="76" t="s">
        <v>240</v>
      </c>
      <c r="C9" s="47">
        <v>1</v>
      </c>
      <c r="D9" s="78" t="s">
        <v>438</v>
      </c>
      <c r="E9" s="77">
        <v>1.4</v>
      </c>
      <c r="F9" s="79">
        <v>360</v>
      </c>
      <c r="G9" s="85">
        <f>Tabela13[[#This Row],[PRICE]]*H9</f>
        <v>0</v>
      </c>
      <c r="H9" s="62">
        <f>SUM(Tabela13[[#This Row],[RAL 1023]:[RAL 9005]])</f>
        <v>0</v>
      </c>
      <c r="I9" s="62">
        <f>Tabela13[[#This Row],[SETS]]*Tabela13[[#This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251</v>
      </c>
      <c r="B10" s="46" t="s">
        <v>241</v>
      </c>
      <c r="C10" s="47">
        <v>1</v>
      </c>
      <c r="D10" s="48" t="s">
        <v>439</v>
      </c>
      <c r="E10" s="47">
        <v>1.6</v>
      </c>
      <c r="F10" s="49">
        <v>360</v>
      </c>
      <c r="G10" s="85">
        <f>Tabela13[[#This Row],[PRICE]]*H10</f>
        <v>0</v>
      </c>
      <c r="H10" s="62">
        <f>SUM(Tabela13[[#This Row],[RAL 1023]:[RAL 9005]])</f>
        <v>0</v>
      </c>
      <c r="I10" s="62">
        <f>Tabela13[[#This Row],[SETS]]*Tabela13[[#This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252</v>
      </c>
      <c r="B11" s="76" t="s">
        <v>242</v>
      </c>
      <c r="C11" s="47">
        <v>1</v>
      </c>
      <c r="D11" s="78" t="s">
        <v>440</v>
      </c>
      <c r="E11" s="77">
        <v>1.9</v>
      </c>
      <c r="F11" s="79">
        <v>370</v>
      </c>
      <c r="G11" s="85">
        <f>Tabela13[[#This Row],[PRICE]]*H11</f>
        <v>0</v>
      </c>
      <c r="H11" s="62">
        <f>SUM(Tabela13[[#This Row],[RAL 1023]:[RAL 9005]])</f>
        <v>0</v>
      </c>
      <c r="I11" s="62">
        <f>Tabela13[[#This Row],[SETS]]*Tabela13[[#This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253</v>
      </c>
      <c r="B12" s="46" t="s">
        <v>243</v>
      </c>
      <c r="C12" s="47">
        <v>1</v>
      </c>
      <c r="D12" s="48" t="s">
        <v>441</v>
      </c>
      <c r="E12" s="47">
        <v>3.1</v>
      </c>
      <c r="F12" s="49">
        <v>445</v>
      </c>
      <c r="G12" s="85">
        <f>Tabela13[[#This Row],[PRICE]]*H12</f>
        <v>0</v>
      </c>
      <c r="H12" s="62">
        <f>SUM(Tabela13[[#This Row],[RAL 1023]:[RAL 9005]])</f>
        <v>0</v>
      </c>
      <c r="I12" s="62">
        <f>Tabela13[[#This Row],[SETS]]*Tabela13[[#This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254</v>
      </c>
      <c r="B13" s="76" t="s">
        <v>244</v>
      </c>
      <c r="C13" s="47">
        <v>1</v>
      </c>
      <c r="D13" s="78" t="s">
        <v>442</v>
      </c>
      <c r="E13" s="77">
        <v>2.8</v>
      </c>
      <c r="F13" s="79">
        <v>390</v>
      </c>
      <c r="G13" s="85">
        <f>Tabela13[[#This Row],[PRICE]]*H13</f>
        <v>0</v>
      </c>
      <c r="H13" s="62">
        <f>SUM(Tabela13[[#This Row],[RAL 1023]:[RAL 9005]])</f>
        <v>0</v>
      </c>
      <c r="I13" s="62">
        <f>Tabela13[[#This Row],[SETS]]*Tabela13[[#This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255</v>
      </c>
      <c r="B14" s="46" t="s">
        <v>245</v>
      </c>
      <c r="C14" s="47">
        <v>1</v>
      </c>
      <c r="D14" s="48" t="s">
        <v>443</v>
      </c>
      <c r="E14" s="47">
        <v>3.4</v>
      </c>
      <c r="F14" s="49">
        <v>445</v>
      </c>
      <c r="G14" s="85">
        <f>Tabela13[[#This Row],[PRICE]]*H14</f>
        <v>0</v>
      </c>
      <c r="H14" s="62">
        <f>SUM(Tabela13[[#This Row],[RAL 1023]:[RAL 9005]])</f>
        <v>0</v>
      </c>
      <c r="I14" s="62">
        <f>Tabela13[[#This Row],[SETS]]*Tabela13[[#This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256</v>
      </c>
      <c r="B15" s="76" t="s">
        <v>246</v>
      </c>
      <c r="C15" s="47">
        <v>1</v>
      </c>
      <c r="D15" s="78" t="s">
        <v>444</v>
      </c>
      <c r="E15" s="77">
        <v>2.42</v>
      </c>
      <c r="F15" s="79">
        <v>390</v>
      </c>
      <c r="G15" s="85">
        <f>Tabela13[[#This Row],[PRICE]]*H15</f>
        <v>0</v>
      </c>
      <c r="H15" s="62">
        <f>SUM(Tabela13[[#This Row],[RAL 1023]:[RAL 9005]])</f>
        <v>0</v>
      </c>
      <c r="I15" s="62">
        <f>Tabela13[[#This Row],[SETS]]*Tabela13[[#This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x14ac:dyDescent="0.2">
      <c r="A16" s="45" t="s">
        <v>257</v>
      </c>
      <c r="B16" s="46" t="s">
        <v>247</v>
      </c>
      <c r="C16" s="47">
        <v>1</v>
      </c>
      <c r="D16" s="48" t="s">
        <v>445</v>
      </c>
      <c r="E16" s="47">
        <v>2.8</v>
      </c>
      <c r="F16" s="49">
        <v>445</v>
      </c>
      <c r="G16" s="85">
        <f>Tabela13[[#This Row],[PRICE]]*H16</f>
        <v>0</v>
      </c>
      <c r="H16" s="62">
        <f>SUM(Tabela13[[#This Row],[RAL 1023]:[RAL 9005]])</f>
        <v>0</v>
      </c>
      <c r="I16" s="62">
        <f>Tabela13[[#This Row],[SETS]]*Tabela13[[#This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</sheetData>
  <mergeCells count="4">
    <mergeCell ref="C3:D3"/>
    <mergeCell ref="C4:D4"/>
    <mergeCell ref="A4:B4"/>
    <mergeCell ref="A3:B3"/>
  </mergeCells>
  <hyperlinks>
    <hyperlink ref="B7" location="Catalogue!A54" display="Oval cone Pinch 1 Carbon Look" xr:uid="{48D9F079-F989-403D-8484-AF6D8E8021B5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A082-4B1C-430D-A4DE-A15BE8FB4EB3}">
  <sheetPr codeName="List4">
    <tabColor theme="1" tint="4.9989318521683403E-2"/>
    <pageSetUpPr fitToPage="1"/>
  </sheetPr>
  <dimension ref="A1:AG134"/>
  <sheetViews>
    <sheetView showGridLines="0" zoomScale="115" zoomScaleNormal="115" zoomScaleSheetLayoutView="55" workbookViewId="0">
      <pane ySplit="7" topLeftCell="A112" activePane="bottomLeft" state="frozen"/>
      <selection pane="bottomLeft" activeCell="A9" sqref="A9:XFD9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4.85546875" style="30" bestFit="1" customWidth="1"/>
    <col min="4" max="4" width="9.85546875" style="30" bestFit="1" customWidth="1"/>
    <col min="5" max="5" width="11.42578125" style="30" customWidth="1"/>
    <col min="6" max="6" width="13" style="30" customWidth="1"/>
    <col min="7" max="8" width="8.5703125" style="30" hidden="1" customWidth="1"/>
    <col min="9" max="9" width="10.5703125" style="30" hidden="1" customWidth="1"/>
    <col min="10" max="10" width="8.140625" style="30" hidden="1" customWidth="1"/>
    <col min="11" max="11" width="11.42578125" style="30" hidden="1" customWidth="1"/>
    <col min="12" max="12" width="10.5703125" style="30" hidden="1" customWidth="1"/>
    <col min="13" max="13" width="16.140625" style="30" bestFit="1" customWidth="1"/>
    <col min="14" max="14" width="11.85546875" style="30" customWidth="1"/>
    <col min="15" max="15" width="8.5703125" style="30" customWidth="1"/>
    <col min="16" max="16" width="10.42578125" style="30" customWidth="1"/>
    <col min="17" max="17" width="11.140625" style="30" bestFit="1" customWidth="1"/>
    <col min="18" max="25" width="8.5703125" style="30" customWidth="1"/>
    <col min="26" max="27" width="8.5703125" style="219" customWidth="1"/>
    <col min="28" max="29" width="8.28515625" style="30" hidden="1" customWidth="1"/>
    <col min="30" max="30" width="10.85546875" style="30" customWidth="1"/>
    <col min="31" max="31" width="13.42578125" bestFit="1" customWidth="1"/>
    <col min="34" max="35" width="6.42578125" style="30" customWidth="1"/>
    <col min="36" max="37" width="7.5703125" style="30" bestFit="1" customWidth="1"/>
    <col min="38" max="38" width="11.5703125" style="30" customWidth="1"/>
    <col min="39" max="39" width="7.5703125" style="30" bestFit="1" customWidth="1"/>
    <col min="40" max="40" width="9.5703125" style="30" customWidth="1"/>
    <col min="41" max="16384" width="8.85546875" style="30"/>
  </cols>
  <sheetData>
    <row r="1" spans="2:33" ht="52.5" customHeight="1" thickBot="1" x14ac:dyDescent="0.3">
      <c r="J1" s="224"/>
    </row>
    <row r="2" spans="2:33" ht="23.25" thickBot="1" x14ac:dyDescent="0.3">
      <c r="I2" s="162" t="s">
        <v>1371</v>
      </c>
      <c r="J2" s="163" t="s">
        <v>1342</v>
      </c>
    </row>
    <row r="3" spans="2:33" ht="18" customHeight="1" thickBot="1" x14ac:dyDescent="0.3">
      <c r="C3" s="549" t="s">
        <v>0</v>
      </c>
      <c r="D3" s="550"/>
      <c r="E3" s="558">
        <f>SUM(N8:N134)</f>
        <v>0</v>
      </c>
      <c r="F3" s="559"/>
      <c r="G3" s="197"/>
      <c r="H3" s="197"/>
      <c r="I3" s="166">
        <f>SUM(L9:L92)</f>
        <v>0</v>
      </c>
      <c r="J3" s="167">
        <f>E3-I3</f>
        <v>0</v>
      </c>
    </row>
    <row r="4" spans="2:33" ht="15.75" thickBot="1" x14ac:dyDescent="0.3">
      <c r="C4" s="547" t="s">
        <v>19</v>
      </c>
      <c r="D4" s="548"/>
      <c r="E4" s="560">
        <f>SUM(R8:AB134)</f>
        <v>0</v>
      </c>
      <c r="F4" s="561"/>
      <c r="G4" s="197"/>
      <c r="N4" s="536" t="s">
        <v>1202</v>
      </c>
      <c r="O4" s="557"/>
      <c r="P4" s="537"/>
      <c r="Q4" s="400"/>
      <c r="R4" s="481">
        <f t="shared" ref="R4:AA4" si="0">SUM(R8:R134)</f>
        <v>0</v>
      </c>
      <c r="S4" s="472">
        <f t="shared" si="0"/>
        <v>0</v>
      </c>
      <c r="T4" s="471">
        <f t="shared" si="0"/>
        <v>0</v>
      </c>
      <c r="U4" s="443">
        <f t="shared" si="0"/>
        <v>0</v>
      </c>
      <c r="V4" s="473">
        <f t="shared" si="0"/>
        <v>0</v>
      </c>
      <c r="W4" s="474">
        <f t="shared" si="0"/>
        <v>0</v>
      </c>
      <c r="X4" s="446">
        <f t="shared" si="0"/>
        <v>0</v>
      </c>
      <c r="Y4" s="475">
        <f t="shared" si="0"/>
        <v>0</v>
      </c>
      <c r="Z4" s="476">
        <f t="shared" si="0"/>
        <v>0</v>
      </c>
      <c r="AA4" s="448">
        <f t="shared" si="0"/>
        <v>0</v>
      </c>
      <c r="AB4" s="341"/>
      <c r="AC4" s="341"/>
      <c r="AD4" s="169">
        <f>SUM(AD8:AD92)</f>
        <v>0</v>
      </c>
      <c r="AG4" s="30"/>
    </row>
    <row r="5" spans="2:33" ht="4.5" customHeight="1" thickBot="1" x14ac:dyDescent="0.3">
      <c r="C5" s="170"/>
      <c r="D5" s="170"/>
      <c r="E5" s="249"/>
      <c r="F5" s="249"/>
    </row>
    <row r="6" spans="2:33" ht="26.25" hidden="1" customHeight="1" thickBot="1" x14ac:dyDescent="0.3">
      <c r="O6" s="32"/>
      <c r="S6" s="214">
        <f t="shared" ref="S6:AA6" si="1">SUM(R8:R92)</f>
        <v>0</v>
      </c>
      <c r="T6" s="214">
        <f t="shared" si="1"/>
        <v>0</v>
      </c>
      <c r="U6" s="214">
        <f t="shared" si="1"/>
        <v>0</v>
      </c>
      <c r="V6" s="214">
        <f t="shared" si="1"/>
        <v>0</v>
      </c>
      <c r="W6" s="214">
        <f t="shared" si="1"/>
        <v>0</v>
      </c>
      <c r="X6" s="214">
        <f t="shared" si="1"/>
        <v>0</v>
      </c>
      <c r="Y6" s="214">
        <f t="shared" si="1"/>
        <v>0</v>
      </c>
      <c r="Z6" s="459">
        <f t="shared" si="1"/>
        <v>0</v>
      </c>
      <c r="AA6" s="459">
        <f t="shared" si="1"/>
        <v>0</v>
      </c>
      <c r="AD6" s="214">
        <f>SUM(AA8:AA134)</f>
        <v>0</v>
      </c>
      <c r="AE6" s="30"/>
      <c r="AF6" s="30"/>
      <c r="AG6" s="30"/>
    </row>
    <row r="7" spans="2:33" ht="36.6" customHeight="1" thickBot="1" x14ac:dyDescent="0.25">
      <c r="B7" s="26" t="s">
        <v>1152</v>
      </c>
      <c r="C7" s="250" t="s">
        <v>86</v>
      </c>
      <c r="D7" s="199" t="s">
        <v>989</v>
      </c>
      <c r="E7" s="199" t="s">
        <v>13</v>
      </c>
      <c r="F7" s="199" t="s">
        <v>3</v>
      </c>
      <c r="G7" s="251" t="s">
        <v>2065</v>
      </c>
      <c r="H7" s="485" t="s">
        <v>2064</v>
      </c>
      <c r="I7" s="173" t="s">
        <v>1373</v>
      </c>
      <c r="J7" s="173" t="s">
        <v>1374</v>
      </c>
      <c r="K7" s="173" t="s">
        <v>1371</v>
      </c>
      <c r="L7" s="160" t="s">
        <v>1372</v>
      </c>
      <c r="M7" s="491" t="s">
        <v>2069</v>
      </c>
      <c r="N7" s="65" t="s">
        <v>85</v>
      </c>
      <c r="O7" s="66" t="s">
        <v>1407</v>
      </c>
      <c r="P7" s="66" t="s">
        <v>11</v>
      </c>
      <c r="Q7" s="225" t="s">
        <v>1408</v>
      </c>
      <c r="R7" s="61" t="s">
        <v>657</v>
      </c>
      <c r="S7" s="27" t="s">
        <v>84</v>
      </c>
      <c r="T7" s="27" t="s">
        <v>14</v>
      </c>
      <c r="U7" s="28" t="s">
        <v>4</v>
      </c>
      <c r="V7" s="28" t="s">
        <v>5</v>
      </c>
      <c r="W7" s="27" t="s">
        <v>6</v>
      </c>
      <c r="X7" s="27" t="s">
        <v>7</v>
      </c>
      <c r="Y7" s="27" t="s">
        <v>197</v>
      </c>
      <c r="Z7" s="28" t="s">
        <v>198</v>
      </c>
      <c r="AA7" s="28" t="s">
        <v>8</v>
      </c>
      <c r="AB7" s="252" t="s">
        <v>1978</v>
      </c>
      <c r="AC7" s="252" t="s">
        <v>2067</v>
      </c>
      <c r="AD7" s="252" t="s">
        <v>1276</v>
      </c>
      <c r="AE7" s="30"/>
      <c r="AF7" s="30"/>
      <c r="AG7" s="30"/>
    </row>
    <row r="8" spans="2:33" ht="12" customHeight="1" thickBot="1" x14ac:dyDescent="0.25">
      <c r="B8" s="122" t="s">
        <v>451</v>
      </c>
      <c r="C8" s="253" t="s">
        <v>990</v>
      </c>
      <c r="D8" s="123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401"/>
      <c r="R8" s="201"/>
      <c r="S8" s="201"/>
      <c r="T8" s="201"/>
      <c r="U8" s="201"/>
      <c r="V8" s="201"/>
      <c r="W8" s="201"/>
      <c r="X8" s="201"/>
      <c r="Y8" s="201"/>
      <c r="Z8" s="456"/>
      <c r="AA8" s="456"/>
      <c r="AB8" s="202"/>
      <c r="AC8" s="202"/>
      <c r="AD8" s="201"/>
      <c r="AE8" s="30"/>
      <c r="AF8" s="30"/>
      <c r="AG8" s="30"/>
    </row>
    <row r="9" spans="2:33" ht="12" customHeight="1" thickBot="1" x14ac:dyDescent="0.3">
      <c r="B9" s="29" t="s">
        <v>258</v>
      </c>
      <c r="C9" s="90" t="s">
        <v>259</v>
      </c>
      <c r="D9" s="229" t="s">
        <v>994</v>
      </c>
      <c r="E9" s="78" t="s">
        <v>390</v>
      </c>
      <c r="F9" s="77">
        <v>7</v>
      </c>
      <c r="G9" s="224">
        <f>INT(249.1)</f>
        <v>249</v>
      </c>
      <c r="H9" s="224">
        <f>ROUNDUP(Tabela134[[#This Row],[ OLD PRICE]]*(1+PRICES!$C$3),0)</f>
        <v>299</v>
      </c>
      <c r="I9" s="175">
        <v>0.15</v>
      </c>
      <c r="J9" s="79">
        <f>Tabela134[[#This Row],[ OLD PRICE]]*Tabela134[[#This Row],[DISCOUNT per piece '[%']]]</f>
        <v>37.35</v>
      </c>
      <c r="K9" s="79">
        <f>Tabela134[[#This Row],[ OLD PRICE]]*(1-Tabela134[[#This Row],[DISCOUNT per piece '[%']]])</f>
        <v>211.65</v>
      </c>
      <c r="L9" s="176">
        <f>Tabela134[[#This Row],[PCS]]*Tabela134[[#This Row],[PROMOTIONAL PRICE]]</f>
        <v>0</v>
      </c>
      <c r="M9" s="492" cm="1">
        <f t="array" ref="M9">ROUNDUP(Tabela134[[#This Row],[NEW PRICE]]*eurofxref_daily[],2)</f>
        <v>481.03999999999996</v>
      </c>
      <c r="N9" s="493">
        <f>Tabela134[[#This Row],[CAD PRICE]]*O9</f>
        <v>0</v>
      </c>
      <c r="O9" s="62">
        <f>SUM(Tabela134[[#This Row],[RAL 1023]:[RAL 9005]])</f>
        <v>0</v>
      </c>
      <c r="P9" s="62">
        <f>Tabela134[[#This Row],[PCS]]*Tabela134[[#This Row],[Weight (kg)]]</f>
        <v>0</v>
      </c>
      <c r="Q9" s="393"/>
      <c r="R9" s="482"/>
      <c r="S9" s="486"/>
      <c r="T9" s="466"/>
      <c r="U9" s="435"/>
      <c r="V9" s="467"/>
      <c r="W9" s="468"/>
      <c r="X9" s="436"/>
      <c r="Y9" s="470"/>
      <c r="Z9" s="469"/>
      <c r="AA9" s="449"/>
      <c r="AB9" s="402"/>
      <c r="AC9" s="402"/>
      <c r="AD9" s="403"/>
      <c r="AE9" s="30"/>
      <c r="AF9" s="30"/>
      <c r="AG9" s="30"/>
    </row>
    <row r="10" spans="2:33" ht="12" customHeight="1" thickBot="1" x14ac:dyDescent="0.3">
      <c r="B10" s="45" t="s">
        <v>260</v>
      </c>
      <c r="C10" s="90" t="s">
        <v>261</v>
      </c>
      <c r="D10" s="229" t="s">
        <v>995</v>
      </c>
      <c r="E10" s="48" t="s">
        <v>390</v>
      </c>
      <c r="F10" s="47">
        <v>7</v>
      </c>
      <c r="G10" s="224">
        <f t="shared" ref="G10:G20" si="2">INT(249.1)</f>
        <v>249</v>
      </c>
      <c r="H10" s="224">
        <f>ROUNDUP(Tabela134[[#This Row],[ OLD PRICE]]*(1+PRICES!$C$3),0)</f>
        <v>299</v>
      </c>
      <c r="I10" s="175">
        <v>0.15</v>
      </c>
      <c r="J10" s="49">
        <f>Tabela134[[#This Row],[ OLD PRICE]]*Tabela134[[#This Row],[DISCOUNT per piece '[%']]]</f>
        <v>37.35</v>
      </c>
      <c r="K10" s="49">
        <f>Tabela134[[#This Row],[ OLD PRICE]]*(1-Tabela134[[#This Row],[DISCOUNT per piece '[%']]])</f>
        <v>211.65</v>
      </c>
      <c r="L10" s="178">
        <f>Tabela134[[#This Row],[PCS]]*Tabela134[[#This Row],[PROMOTIONAL PRICE]]</f>
        <v>0</v>
      </c>
      <c r="M10" s="492" cm="1">
        <f t="array" ref="M10">ROUNDUP(Tabela134[[#This Row],[NEW PRICE]]*eurofxref_daily[],2)</f>
        <v>481.03999999999996</v>
      </c>
      <c r="N10" s="493">
        <f>Tabela134[[#This Row],[CAD PRICE]]*O10</f>
        <v>0</v>
      </c>
      <c r="O10" s="62">
        <f>SUM(Tabela134[[#This Row],[RAL 1023]:[RAL 9005]])</f>
        <v>0</v>
      </c>
      <c r="P10" s="62">
        <f>Tabela134[[#This Row],[PCS]]*Tabela134[[#This Row],[Weight (kg)]]</f>
        <v>0</v>
      </c>
      <c r="Q10" s="393"/>
      <c r="R10" s="482"/>
      <c r="S10" s="486"/>
      <c r="T10" s="466"/>
      <c r="U10" s="435"/>
      <c r="V10" s="467"/>
      <c r="W10" s="468"/>
      <c r="X10" s="436"/>
      <c r="Y10" s="470"/>
      <c r="Z10" s="469"/>
      <c r="AA10" s="449"/>
      <c r="AB10" s="402"/>
      <c r="AC10" s="402"/>
      <c r="AD10" s="403"/>
      <c r="AE10" s="30"/>
      <c r="AF10" s="30"/>
      <c r="AG10" s="30"/>
    </row>
    <row r="11" spans="2:33" ht="12" customHeight="1" thickBot="1" x14ac:dyDescent="0.3">
      <c r="B11" s="29" t="s">
        <v>262</v>
      </c>
      <c r="C11" s="90" t="s">
        <v>263</v>
      </c>
      <c r="D11" s="229" t="s">
        <v>996</v>
      </c>
      <c r="E11" s="78" t="s">
        <v>391</v>
      </c>
      <c r="F11" s="77">
        <v>7</v>
      </c>
      <c r="G11" s="224">
        <f t="shared" si="2"/>
        <v>249</v>
      </c>
      <c r="H11" s="224">
        <f>ROUNDUP(Tabela134[[#This Row],[ OLD PRICE]]*(1+PRICES!$C$3),0)</f>
        <v>299</v>
      </c>
      <c r="I11" s="175">
        <v>0.15</v>
      </c>
      <c r="J11" s="79">
        <f>Tabela134[[#This Row],[ OLD PRICE]]*Tabela134[[#This Row],[DISCOUNT per piece '[%']]]</f>
        <v>37.35</v>
      </c>
      <c r="K11" s="79">
        <f>Tabela134[[#This Row],[ OLD PRICE]]*(1-Tabela134[[#This Row],[DISCOUNT per piece '[%']]])</f>
        <v>211.65</v>
      </c>
      <c r="L11" s="176">
        <f>Tabela134[[#This Row],[PCS]]*Tabela134[[#This Row],[PROMOTIONAL PRICE]]</f>
        <v>0</v>
      </c>
      <c r="M11" s="492" cm="1">
        <f t="array" ref="M11">ROUNDUP(Tabela134[[#This Row],[NEW PRICE]]*eurofxref_daily[],2)</f>
        <v>481.03999999999996</v>
      </c>
      <c r="N11" s="493">
        <f>Tabela134[[#This Row],[CAD PRICE]]*O11</f>
        <v>0</v>
      </c>
      <c r="O11" s="62">
        <f>SUM(Tabela134[[#This Row],[RAL 1023]:[RAL 9005]])</f>
        <v>0</v>
      </c>
      <c r="P11" s="62">
        <f>Tabela134[[#This Row],[PCS]]*Tabela134[[#This Row],[Weight (kg)]]</f>
        <v>0</v>
      </c>
      <c r="Q11" s="393"/>
      <c r="R11" s="482"/>
      <c r="S11" s="486"/>
      <c r="T11" s="466"/>
      <c r="U11" s="435"/>
      <c r="V11" s="467"/>
      <c r="W11" s="468"/>
      <c r="X11" s="436"/>
      <c r="Y11" s="470"/>
      <c r="Z11" s="469"/>
      <c r="AA11" s="449"/>
      <c r="AB11" s="402"/>
      <c r="AC11" s="402"/>
      <c r="AD11" s="403"/>
      <c r="AE11" s="30"/>
      <c r="AF11" s="30"/>
      <c r="AG11" s="30"/>
    </row>
    <row r="12" spans="2:33" ht="12" customHeight="1" thickBot="1" x14ac:dyDescent="0.3">
      <c r="B12" s="45" t="s">
        <v>264</v>
      </c>
      <c r="C12" s="90" t="s">
        <v>265</v>
      </c>
      <c r="D12" s="229" t="s">
        <v>997</v>
      </c>
      <c r="E12" s="48" t="s">
        <v>391</v>
      </c>
      <c r="F12" s="47">
        <v>7</v>
      </c>
      <c r="G12" s="224">
        <f t="shared" si="2"/>
        <v>249</v>
      </c>
      <c r="H12" s="224">
        <f>ROUNDUP(Tabela134[[#This Row],[ OLD PRICE]]*(1+PRICES!$C$3),0)</f>
        <v>299</v>
      </c>
      <c r="I12" s="175">
        <v>0.15</v>
      </c>
      <c r="J12" s="49">
        <f>Tabela134[[#This Row],[ OLD PRICE]]*Tabela134[[#This Row],[DISCOUNT per piece '[%']]]</f>
        <v>37.35</v>
      </c>
      <c r="K12" s="49">
        <f>Tabela134[[#This Row],[ OLD PRICE]]*(1-Tabela134[[#This Row],[DISCOUNT per piece '[%']]])</f>
        <v>211.65</v>
      </c>
      <c r="L12" s="178">
        <f>Tabela134[[#This Row],[PCS]]*Tabela134[[#This Row],[PROMOTIONAL PRICE]]</f>
        <v>0</v>
      </c>
      <c r="M12" s="492" cm="1">
        <f t="array" ref="M12">ROUNDUP(Tabela134[[#This Row],[NEW PRICE]]*eurofxref_daily[],2)</f>
        <v>481.03999999999996</v>
      </c>
      <c r="N12" s="493">
        <f>Tabela134[[#This Row],[CAD PRICE]]*O12</f>
        <v>0</v>
      </c>
      <c r="O12" s="62">
        <f>SUM(Tabela134[[#This Row],[RAL 1023]:[RAL 9005]])</f>
        <v>0</v>
      </c>
      <c r="P12" s="62">
        <f>Tabela134[[#This Row],[PCS]]*Tabela134[[#This Row],[Weight (kg)]]</f>
        <v>0</v>
      </c>
      <c r="Q12" s="393"/>
      <c r="R12" s="482"/>
      <c r="S12" s="486"/>
      <c r="T12" s="466"/>
      <c r="U12" s="435"/>
      <c r="V12" s="467"/>
      <c r="W12" s="468"/>
      <c r="X12" s="436"/>
      <c r="Y12" s="470"/>
      <c r="Z12" s="469"/>
      <c r="AA12" s="449"/>
      <c r="AB12" s="402"/>
      <c r="AC12" s="402"/>
      <c r="AD12" s="403"/>
      <c r="AE12" s="30"/>
      <c r="AF12" s="30"/>
      <c r="AG12" s="30"/>
    </row>
    <row r="13" spans="2:33" ht="12" customHeight="1" thickBot="1" x14ac:dyDescent="0.3">
      <c r="B13" s="29" t="s">
        <v>266</v>
      </c>
      <c r="C13" s="90" t="s">
        <v>267</v>
      </c>
      <c r="D13" s="229" t="s">
        <v>998</v>
      </c>
      <c r="E13" s="78" t="s">
        <v>392</v>
      </c>
      <c r="F13" s="77">
        <v>7</v>
      </c>
      <c r="G13" s="224">
        <f t="shared" si="2"/>
        <v>249</v>
      </c>
      <c r="H13" s="224">
        <f>ROUNDUP(Tabela134[[#This Row],[ OLD PRICE]]*(1+PRICES!$C$3),0)</f>
        <v>299</v>
      </c>
      <c r="I13" s="175">
        <v>0.15</v>
      </c>
      <c r="J13" s="79">
        <f>Tabela134[[#This Row],[ OLD PRICE]]*Tabela134[[#This Row],[DISCOUNT per piece '[%']]]</f>
        <v>37.35</v>
      </c>
      <c r="K13" s="79">
        <f>Tabela134[[#This Row],[ OLD PRICE]]*(1-Tabela134[[#This Row],[DISCOUNT per piece '[%']]])</f>
        <v>211.65</v>
      </c>
      <c r="L13" s="176">
        <f>Tabela134[[#This Row],[PCS]]*Tabela134[[#This Row],[PROMOTIONAL PRICE]]</f>
        <v>0</v>
      </c>
      <c r="M13" s="492" cm="1">
        <f t="array" ref="M13">ROUNDUP(Tabela134[[#This Row],[NEW PRICE]]*eurofxref_daily[],2)</f>
        <v>481.03999999999996</v>
      </c>
      <c r="N13" s="493">
        <f>Tabela134[[#This Row],[CAD PRICE]]*O13</f>
        <v>0</v>
      </c>
      <c r="O13" s="62">
        <f>SUM(Tabela134[[#This Row],[RAL 1023]:[RAL 9005]])</f>
        <v>0</v>
      </c>
      <c r="P13" s="62">
        <f>Tabela134[[#This Row],[PCS]]*Tabela134[[#This Row],[Weight (kg)]]</f>
        <v>0</v>
      </c>
      <c r="Q13" s="393"/>
      <c r="R13" s="482"/>
      <c r="S13" s="486"/>
      <c r="T13" s="466"/>
      <c r="U13" s="435"/>
      <c r="V13" s="467"/>
      <c r="W13" s="468"/>
      <c r="X13" s="436"/>
      <c r="Y13" s="470"/>
      <c r="Z13" s="469"/>
      <c r="AA13" s="449"/>
      <c r="AB13" s="402"/>
      <c r="AC13" s="402"/>
      <c r="AD13" s="403"/>
      <c r="AE13" s="30"/>
      <c r="AF13" s="30"/>
      <c r="AG13" s="30"/>
    </row>
    <row r="14" spans="2:33" ht="12" customHeight="1" thickBot="1" x14ac:dyDescent="0.3">
      <c r="B14" s="45" t="s">
        <v>268</v>
      </c>
      <c r="C14" s="90" t="s">
        <v>269</v>
      </c>
      <c r="D14" s="229" t="s">
        <v>999</v>
      </c>
      <c r="E14" s="48" t="s">
        <v>392</v>
      </c>
      <c r="F14" s="47">
        <v>7</v>
      </c>
      <c r="G14" s="224">
        <f t="shared" si="2"/>
        <v>249</v>
      </c>
      <c r="H14" s="224">
        <f>ROUNDUP(Tabela134[[#This Row],[ OLD PRICE]]*(1+PRICES!$C$3),0)</f>
        <v>299</v>
      </c>
      <c r="I14" s="175">
        <v>0.15</v>
      </c>
      <c r="J14" s="49">
        <f>Tabela134[[#This Row],[ OLD PRICE]]*Tabela134[[#This Row],[DISCOUNT per piece '[%']]]</f>
        <v>37.35</v>
      </c>
      <c r="K14" s="49">
        <f>Tabela134[[#This Row],[ OLD PRICE]]*(1-Tabela134[[#This Row],[DISCOUNT per piece '[%']]])</f>
        <v>211.65</v>
      </c>
      <c r="L14" s="178">
        <f>Tabela134[[#This Row],[PCS]]*Tabela134[[#This Row],[PROMOTIONAL PRICE]]</f>
        <v>0</v>
      </c>
      <c r="M14" s="492" cm="1">
        <f t="array" ref="M14">ROUNDUP(Tabela134[[#This Row],[NEW PRICE]]*eurofxref_daily[],2)</f>
        <v>481.03999999999996</v>
      </c>
      <c r="N14" s="493">
        <f>Tabela134[[#This Row],[CAD PRICE]]*O14</f>
        <v>0</v>
      </c>
      <c r="O14" s="62">
        <f>SUM(Tabela134[[#This Row],[RAL 1023]:[RAL 9005]])</f>
        <v>0</v>
      </c>
      <c r="P14" s="62">
        <f>Tabela134[[#This Row],[PCS]]*Tabela134[[#This Row],[Weight (kg)]]</f>
        <v>0</v>
      </c>
      <c r="Q14" s="393"/>
      <c r="R14" s="482"/>
      <c r="S14" s="486"/>
      <c r="T14" s="466"/>
      <c r="U14" s="435"/>
      <c r="V14" s="467"/>
      <c r="W14" s="468"/>
      <c r="X14" s="436"/>
      <c r="Y14" s="470"/>
      <c r="Z14" s="469"/>
      <c r="AA14" s="449"/>
      <c r="AB14" s="402"/>
      <c r="AC14" s="402"/>
      <c r="AD14" s="403"/>
      <c r="AE14" s="30"/>
      <c r="AF14" s="30"/>
      <c r="AG14" s="30"/>
    </row>
    <row r="15" spans="2:33" ht="12" customHeight="1" thickBot="1" x14ac:dyDescent="0.3">
      <c r="B15" s="29" t="s">
        <v>270</v>
      </c>
      <c r="C15" s="90" t="s">
        <v>271</v>
      </c>
      <c r="D15" s="229" t="s">
        <v>1000</v>
      </c>
      <c r="E15" s="78" t="s">
        <v>393</v>
      </c>
      <c r="F15" s="77">
        <v>7</v>
      </c>
      <c r="G15" s="224">
        <f t="shared" si="2"/>
        <v>249</v>
      </c>
      <c r="H15" s="224">
        <f>ROUNDUP(Tabela134[[#This Row],[ OLD PRICE]]*(1+PRICES!$C$3),0)</f>
        <v>299</v>
      </c>
      <c r="I15" s="175">
        <v>0.15</v>
      </c>
      <c r="J15" s="79">
        <f>Tabela134[[#This Row],[ OLD PRICE]]*Tabela134[[#This Row],[DISCOUNT per piece '[%']]]</f>
        <v>37.35</v>
      </c>
      <c r="K15" s="79">
        <f>Tabela134[[#This Row],[ OLD PRICE]]*(1-Tabela134[[#This Row],[DISCOUNT per piece '[%']]])</f>
        <v>211.65</v>
      </c>
      <c r="L15" s="176">
        <f>Tabela134[[#This Row],[PCS]]*Tabela134[[#This Row],[PROMOTIONAL PRICE]]</f>
        <v>0</v>
      </c>
      <c r="M15" s="492" cm="1">
        <f t="array" ref="M15">ROUNDUP(Tabela134[[#This Row],[NEW PRICE]]*eurofxref_daily[],2)</f>
        <v>481.03999999999996</v>
      </c>
      <c r="N15" s="493">
        <f>Tabela134[[#This Row],[CAD PRICE]]*O15</f>
        <v>0</v>
      </c>
      <c r="O15" s="62">
        <f>SUM(Tabela134[[#This Row],[RAL 1023]:[RAL 9005]])</f>
        <v>0</v>
      </c>
      <c r="P15" s="62">
        <f>Tabela134[[#This Row],[PCS]]*Tabela134[[#This Row],[Weight (kg)]]</f>
        <v>0</v>
      </c>
      <c r="Q15" s="393"/>
      <c r="R15" s="482"/>
      <c r="S15" s="486"/>
      <c r="T15" s="466"/>
      <c r="U15" s="435"/>
      <c r="V15" s="467"/>
      <c r="W15" s="468"/>
      <c r="X15" s="436"/>
      <c r="Y15" s="470"/>
      <c r="Z15" s="469"/>
      <c r="AA15" s="449"/>
      <c r="AB15" s="402"/>
      <c r="AC15" s="402"/>
      <c r="AD15" s="403"/>
      <c r="AE15" s="30"/>
      <c r="AF15" s="30"/>
      <c r="AG15" s="30"/>
    </row>
    <row r="16" spans="2:33" ht="12" customHeight="1" thickBot="1" x14ac:dyDescent="0.3">
      <c r="B16" s="45" t="s">
        <v>272</v>
      </c>
      <c r="C16" s="90" t="s">
        <v>273</v>
      </c>
      <c r="D16" s="229" t="s">
        <v>1001</v>
      </c>
      <c r="E16" s="48" t="s">
        <v>393</v>
      </c>
      <c r="F16" s="47">
        <v>7</v>
      </c>
      <c r="G16" s="224">
        <f t="shared" si="2"/>
        <v>249</v>
      </c>
      <c r="H16" s="224">
        <f>ROUNDUP(Tabela134[[#This Row],[ OLD PRICE]]*(1+PRICES!$C$3),0)</f>
        <v>299</v>
      </c>
      <c r="I16" s="175">
        <v>0.15</v>
      </c>
      <c r="J16" s="49">
        <f>Tabela134[[#This Row],[ OLD PRICE]]*Tabela134[[#This Row],[DISCOUNT per piece '[%']]]</f>
        <v>37.35</v>
      </c>
      <c r="K16" s="49">
        <f>Tabela134[[#This Row],[ OLD PRICE]]*(1-Tabela134[[#This Row],[DISCOUNT per piece '[%']]])</f>
        <v>211.65</v>
      </c>
      <c r="L16" s="178">
        <f>Tabela134[[#This Row],[PCS]]*Tabela134[[#This Row],[PROMOTIONAL PRICE]]</f>
        <v>0</v>
      </c>
      <c r="M16" s="492" cm="1">
        <f t="array" ref="M16">ROUNDUP(Tabela134[[#This Row],[NEW PRICE]]*eurofxref_daily[],2)</f>
        <v>481.03999999999996</v>
      </c>
      <c r="N16" s="493">
        <f>Tabela134[[#This Row],[CAD PRICE]]*O16</f>
        <v>0</v>
      </c>
      <c r="O16" s="62">
        <f>SUM(Tabela134[[#This Row],[RAL 1023]:[RAL 9005]])</f>
        <v>0</v>
      </c>
      <c r="P16" s="62">
        <f>Tabela134[[#This Row],[PCS]]*Tabela134[[#This Row],[Weight (kg)]]</f>
        <v>0</v>
      </c>
      <c r="Q16" s="393"/>
      <c r="R16" s="482"/>
      <c r="S16" s="486"/>
      <c r="T16" s="466"/>
      <c r="U16" s="435"/>
      <c r="V16" s="467"/>
      <c r="W16" s="468"/>
      <c r="X16" s="436"/>
      <c r="Y16" s="470"/>
      <c r="Z16" s="469"/>
      <c r="AA16" s="449"/>
      <c r="AB16" s="402"/>
      <c r="AC16" s="402"/>
      <c r="AD16" s="403"/>
      <c r="AE16" s="30"/>
      <c r="AF16" s="30"/>
      <c r="AG16" s="30"/>
    </row>
    <row r="17" spans="2:33" ht="12" customHeight="1" thickBot="1" x14ac:dyDescent="0.3">
      <c r="B17" s="29" t="s">
        <v>274</v>
      </c>
      <c r="C17" s="90" t="s">
        <v>275</v>
      </c>
      <c r="D17" s="229" t="s">
        <v>1002</v>
      </c>
      <c r="E17" s="78" t="s">
        <v>394</v>
      </c>
      <c r="F17" s="77">
        <v>7</v>
      </c>
      <c r="G17" s="224">
        <f t="shared" si="2"/>
        <v>249</v>
      </c>
      <c r="H17" s="224">
        <f>ROUNDUP(Tabela134[[#This Row],[ OLD PRICE]]*(1+PRICES!$C$3),0)</f>
        <v>299</v>
      </c>
      <c r="I17" s="175">
        <v>0.15</v>
      </c>
      <c r="J17" s="79">
        <f>Tabela134[[#This Row],[ OLD PRICE]]*Tabela134[[#This Row],[DISCOUNT per piece '[%']]]</f>
        <v>37.35</v>
      </c>
      <c r="K17" s="79">
        <f>Tabela134[[#This Row],[ OLD PRICE]]*(1-Tabela134[[#This Row],[DISCOUNT per piece '[%']]])</f>
        <v>211.65</v>
      </c>
      <c r="L17" s="176">
        <f>Tabela134[[#This Row],[PCS]]*Tabela134[[#This Row],[PROMOTIONAL PRICE]]</f>
        <v>0</v>
      </c>
      <c r="M17" s="492" cm="1">
        <f t="array" ref="M17">ROUNDUP(Tabela134[[#This Row],[NEW PRICE]]*eurofxref_daily[],2)</f>
        <v>481.03999999999996</v>
      </c>
      <c r="N17" s="493">
        <f>Tabela134[[#This Row],[CAD PRICE]]*O17</f>
        <v>0</v>
      </c>
      <c r="O17" s="62">
        <f>SUM(Tabela134[[#This Row],[RAL 1023]:[RAL 9005]])</f>
        <v>0</v>
      </c>
      <c r="P17" s="62">
        <f>Tabela134[[#This Row],[PCS]]*Tabela134[[#This Row],[Weight (kg)]]</f>
        <v>0</v>
      </c>
      <c r="Q17" s="393"/>
      <c r="R17" s="482"/>
      <c r="S17" s="486"/>
      <c r="T17" s="466"/>
      <c r="U17" s="435"/>
      <c r="V17" s="467"/>
      <c r="W17" s="468"/>
      <c r="X17" s="436"/>
      <c r="Y17" s="470"/>
      <c r="Z17" s="469"/>
      <c r="AA17" s="449"/>
      <c r="AB17" s="402"/>
      <c r="AC17" s="402"/>
      <c r="AD17" s="403"/>
      <c r="AE17" s="30"/>
      <c r="AF17" s="30"/>
      <c r="AG17" s="30"/>
    </row>
    <row r="18" spans="2:33" ht="12" customHeight="1" thickBot="1" x14ac:dyDescent="0.3">
      <c r="B18" s="45" t="s">
        <v>276</v>
      </c>
      <c r="C18" s="90" t="s">
        <v>277</v>
      </c>
      <c r="D18" s="229" t="s">
        <v>1003</v>
      </c>
      <c r="E18" s="48" t="s">
        <v>394</v>
      </c>
      <c r="F18" s="47">
        <v>7</v>
      </c>
      <c r="G18" s="224">
        <f t="shared" si="2"/>
        <v>249</v>
      </c>
      <c r="H18" s="224">
        <f>ROUNDUP(Tabela134[[#This Row],[ OLD PRICE]]*(1+PRICES!$C$3),0)</f>
        <v>299</v>
      </c>
      <c r="I18" s="175">
        <v>0.15</v>
      </c>
      <c r="J18" s="49">
        <f>Tabela134[[#This Row],[ OLD PRICE]]*Tabela134[[#This Row],[DISCOUNT per piece '[%']]]</f>
        <v>37.35</v>
      </c>
      <c r="K18" s="49">
        <f>Tabela134[[#This Row],[ OLD PRICE]]*(1-Tabela134[[#This Row],[DISCOUNT per piece '[%']]])</f>
        <v>211.65</v>
      </c>
      <c r="L18" s="178">
        <f>Tabela134[[#This Row],[PCS]]*Tabela134[[#This Row],[PROMOTIONAL PRICE]]</f>
        <v>0</v>
      </c>
      <c r="M18" s="492" cm="1">
        <f t="array" ref="M18">ROUNDUP(Tabela134[[#This Row],[NEW PRICE]]*eurofxref_daily[],2)</f>
        <v>481.03999999999996</v>
      </c>
      <c r="N18" s="493">
        <f>Tabela134[[#This Row],[CAD PRICE]]*O18</f>
        <v>0</v>
      </c>
      <c r="O18" s="62">
        <f>SUM(Tabela134[[#This Row],[RAL 1023]:[RAL 9005]])</f>
        <v>0</v>
      </c>
      <c r="P18" s="62">
        <f>Tabela134[[#This Row],[PCS]]*Tabela134[[#This Row],[Weight (kg)]]</f>
        <v>0</v>
      </c>
      <c r="Q18" s="393"/>
      <c r="R18" s="482"/>
      <c r="S18" s="486"/>
      <c r="T18" s="466"/>
      <c r="U18" s="435"/>
      <c r="V18" s="467"/>
      <c r="W18" s="468"/>
      <c r="X18" s="436"/>
      <c r="Y18" s="470"/>
      <c r="Z18" s="469"/>
      <c r="AA18" s="449"/>
      <c r="AB18" s="402"/>
      <c r="AC18" s="402"/>
      <c r="AD18" s="403"/>
      <c r="AE18" s="30"/>
      <c r="AF18" s="30"/>
      <c r="AG18" s="30"/>
    </row>
    <row r="19" spans="2:33" ht="12" customHeight="1" thickBot="1" x14ac:dyDescent="0.3">
      <c r="B19" s="29" t="s">
        <v>278</v>
      </c>
      <c r="C19" s="90" t="s">
        <v>279</v>
      </c>
      <c r="D19" s="229" t="s">
        <v>1004</v>
      </c>
      <c r="E19" s="78" t="s">
        <v>395</v>
      </c>
      <c r="F19" s="77">
        <v>7</v>
      </c>
      <c r="G19" s="224">
        <f t="shared" si="2"/>
        <v>249</v>
      </c>
      <c r="H19" s="224">
        <f>ROUNDUP(Tabela134[[#This Row],[ OLD PRICE]]*(1+PRICES!$C$3),0)</f>
        <v>299</v>
      </c>
      <c r="I19" s="175">
        <v>0.15</v>
      </c>
      <c r="J19" s="79">
        <f>Tabela134[[#This Row],[ OLD PRICE]]*Tabela134[[#This Row],[DISCOUNT per piece '[%']]]</f>
        <v>37.35</v>
      </c>
      <c r="K19" s="79">
        <f>Tabela134[[#This Row],[ OLD PRICE]]*(1-Tabela134[[#This Row],[DISCOUNT per piece '[%']]])</f>
        <v>211.65</v>
      </c>
      <c r="L19" s="176">
        <f>Tabela134[[#This Row],[PCS]]*Tabela134[[#This Row],[PROMOTIONAL PRICE]]</f>
        <v>0</v>
      </c>
      <c r="M19" s="492" cm="1">
        <f t="array" ref="M19">ROUNDUP(Tabela134[[#This Row],[NEW PRICE]]*eurofxref_daily[],2)</f>
        <v>481.03999999999996</v>
      </c>
      <c r="N19" s="493">
        <f>Tabela134[[#This Row],[CAD PRICE]]*O19</f>
        <v>0</v>
      </c>
      <c r="O19" s="62">
        <f>SUM(Tabela134[[#This Row],[RAL 1023]:[RAL 9005]])</f>
        <v>0</v>
      </c>
      <c r="P19" s="62">
        <f>Tabela134[[#This Row],[PCS]]*Tabela134[[#This Row],[Weight (kg)]]</f>
        <v>0</v>
      </c>
      <c r="Q19" s="393"/>
      <c r="R19" s="482"/>
      <c r="S19" s="486"/>
      <c r="T19" s="466"/>
      <c r="U19" s="435"/>
      <c r="V19" s="467"/>
      <c r="W19" s="468"/>
      <c r="X19" s="436"/>
      <c r="Y19" s="470"/>
      <c r="Z19" s="469"/>
      <c r="AA19" s="449"/>
      <c r="AB19" s="402"/>
      <c r="AC19" s="402"/>
      <c r="AD19" s="403"/>
      <c r="AE19" s="30"/>
      <c r="AF19" s="30"/>
      <c r="AG19" s="30"/>
    </row>
    <row r="20" spans="2:33" ht="12" customHeight="1" thickBot="1" x14ac:dyDescent="0.3">
      <c r="B20" s="45" t="s">
        <v>280</v>
      </c>
      <c r="C20" s="90" t="s">
        <v>281</v>
      </c>
      <c r="D20" s="229" t="s">
        <v>1005</v>
      </c>
      <c r="E20" s="48" t="s">
        <v>395</v>
      </c>
      <c r="F20" s="47">
        <v>7</v>
      </c>
      <c r="G20" s="224">
        <f t="shared" si="2"/>
        <v>249</v>
      </c>
      <c r="H20" s="224">
        <f>ROUNDUP(Tabela134[[#This Row],[ OLD PRICE]]*(1+PRICES!$C$3),0)</f>
        <v>299</v>
      </c>
      <c r="I20" s="175">
        <v>0.15</v>
      </c>
      <c r="J20" s="49">
        <f>Tabela134[[#This Row],[ OLD PRICE]]*Tabela134[[#This Row],[DISCOUNT per piece '[%']]]</f>
        <v>37.35</v>
      </c>
      <c r="K20" s="49">
        <f>Tabela134[[#This Row],[ OLD PRICE]]*(1-Tabela134[[#This Row],[DISCOUNT per piece '[%']]])</f>
        <v>211.65</v>
      </c>
      <c r="L20" s="178">
        <f>Tabela134[[#This Row],[PCS]]*Tabela134[[#This Row],[PROMOTIONAL PRICE]]</f>
        <v>0</v>
      </c>
      <c r="M20" s="492" cm="1">
        <f t="array" ref="M20">ROUNDUP(Tabela134[[#This Row],[NEW PRICE]]*eurofxref_daily[],2)</f>
        <v>481.03999999999996</v>
      </c>
      <c r="N20" s="493">
        <f>Tabela134[[#This Row],[CAD PRICE]]*O20</f>
        <v>0</v>
      </c>
      <c r="O20" s="62">
        <f>SUM(Tabela134[[#This Row],[RAL 1023]:[RAL 9005]])</f>
        <v>0</v>
      </c>
      <c r="P20" s="62">
        <f>Tabela134[[#This Row],[PCS]]*Tabela134[[#This Row],[Weight (kg)]]</f>
        <v>0</v>
      </c>
      <c r="Q20" s="393"/>
      <c r="R20" s="482"/>
      <c r="S20" s="486"/>
      <c r="T20" s="466"/>
      <c r="U20" s="435"/>
      <c r="V20" s="467"/>
      <c r="W20" s="468"/>
      <c r="X20" s="436"/>
      <c r="Y20" s="470"/>
      <c r="Z20" s="469"/>
      <c r="AA20" s="449"/>
      <c r="AB20" s="402"/>
      <c r="AC20" s="402"/>
      <c r="AD20" s="403"/>
      <c r="AE20" s="30"/>
      <c r="AF20" s="30"/>
      <c r="AG20" s="30"/>
    </row>
    <row r="21" spans="2:33" ht="12" customHeight="1" thickBot="1" x14ac:dyDescent="0.25">
      <c r="B21" s="122" t="s">
        <v>452</v>
      </c>
      <c r="C21" s="125" t="s">
        <v>991</v>
      </c>
      <c r="D21" s="126"/>
      <c r="E21" s="124"/>
      <c r="F21" s="124"/>
      <c r="G21" s="358"/>
      <c r="H21" s="124"/>
      <c r="I21" s="124"/>
      <c r="J21" s="124"/>
      <c r="K21" s="124"/>
      <c r="L21" s="124"/>
      <c r="M21" s="124"/>
      <c r="N21" s="124"/>
      <c r="O21" s="124"/>
      <c r="P21" s="124"/>
      <c r="Q21" s="401"/>
      <c r="R21" s="80"/>
      <c r="S21" s="80"/>
      <c r="T21" s="80"/>
      <c r="U21" s="80"/>
      <c r="V21" s="80"/>
      <c r="W21" s="80"/>
      <c r="X21" s="80"/>
      <c r="Y21" s="80"/>
      <c r="Z21" s="457"/>
      <c r="AA21" s="457"/>
      <c r="AB21" s="202"/>
      <c r="AC21" s="202"/>
      <c r="AD21" s="201"/>
      <c r="AE21" s="30"/>
      <c r="AF21" s="30"/>
      <c r="AG21" s="30"/>
    </row>
    <row r="22" spans="2:33" ht="12" customHeight="1" thickBot="1" x14ac:dyDescent="0.3">
      <c r="B22" s="29" t="s">
        <v>282</v>
      </c>
      <c r="C22" s="90" t="s">
        <v>283</v>
      </c>
      <c r="D22" s="207" t="s">
        <v>1006</v>
      </c>
      <c r="E22" s="78" t="s">
        <v>396</v>
      </c>
      <c r="F22" s="77">
        <v>3</v>
      </c>
      <c r="G22" s="224">
        <f>-INT(-201.4)</f>
        <v>202</v>
      </c>
      <c r="H22" s="224">
        <f>ROUNDUP(Tabela134[[#This Row],[ OLD PRICE]]*(1+PRICES!$C$3),0)</f>
        <v>243</v>
      </c>
      <c r="I22" s="175">
        <v>0.15</v>
      </c>
      <c r="J22" s="79">
        <f>Tabela134[[#This Row],[ OLD PRICE]]*Tabela134[[#This Row],[DISCOUNT per piece '[%']]]</f>
        <v>30.299999999999997</v>
      </c>
      <c r="K22" s="79">
        <f>Tabela134[[#This Row],[ OLD PRICE]]*(1-Tabela134[[#This Row],[DISCOUNT per piece '[%']]])</f>
        <v>171.7</v>
      </c>
      <c r="L22" s="176">
        <f>Tabela134[[#This Row],[PCS]]*Tabela134[[#This Row],[PROMOTIONAL PRICE]]</f>
        <v>0</v>
      </c>
      <c r="M22" s="492" cm="1">
        <f t="array" ref="M22">ROUNDUP(Tabela134[[#This Row],[NEW PRICE]]*eurofxref_daily[],2)</f>
        <v>390.94</v>
      </c>
      <c r="N22" s="493">
        <f>Tabela134[[#This Row],[CAD PRICE]]*O22</f>
        <v>0</v>
      </c>
      <c r="O22" s="62">
        <f>SUM(Tabela134[[#This Row],[RAL 1023]:[RAL 9005]])</f>
        <v>0</v>
      </c>
      <c r="P22" s="62">
        <f>Tabela134[[#This Row],[PCS]]*Tabela134[[#This Row],[Weight (kg)]]</f>
        <v>0</v>
      </c>
      <c r="Q22" s="393"/>
      <c r="R22" s="482"/>
      <c r="S22" s="486"/>
      <c r="T22" s="466"/>
      <c r="U22" s="435"/>
      <c r="V22" s="467"/>
      <c r="W22" s="468"/>
      <c r="X22" s="436"/>
      <c r="Y22" s="470"/>
      <c r="Z22" s="469"/>
      <c r="AA22" s="449"/>
      <c r="AB22" s="402"/>
      <c r="AC22" s="402"/>
      <c r="AD22" s="403"/>
      <c r="AE22" s="30"/>
      <c r="AF22" s="30"/>
      <c r="AG22" s="30"/>
    </row>
    <row r="23" spans="2:33" ht="12" customHeight="1" thickBot="1" x14ac:dyDescent="0.3">
      <c r="B23" s="45" t="s">
        <v>284</v>
      </c>
      <c r="C23" s="90" t="s">
        <v>285</v>
      </c>
      <c r="D23" s="207" t="s">
        <v>1007</v>
      </c>
      <c r="E23" s="48" t="s">
        <v>397</v>
      </c>
      <c r="F23" s="47">
        <v>3</v>
      </c>
      <c r="G23" s="224">
        <v>202</v>
      </c>
      <c r="H23" s="224">
        <f>ROUNDUP(Tabela134[[#This Row],[ OLD PRICE]]*(1+PRICES!$C$3),0)</f>
        <v>243</v>
      </c>
      <c r="I23" s="175">
        <v>0.15</v>
      </c>
      <c r="J23" s="49">
        <f>Tabela134[[#This Row],[ OLD PRICE]]*Tabela134[[#This Row],[DISCOUNT per piece '[%']]]</f>
        <v>30.299999999999997</v>
      </c>
      <c r="K23" s="49">
        <f>Tabela134[[#This Row],[ OLD PRICE]]*(1-Tabela134[[#This Row],[DISCOUNT per piece '[%']]])</f>
        <v>171.7</v>
      </c>
      <c r="L23" s="178">
        <f>Tabela134[[#This Row],[PCS]]*Tabela134[[#This Row],[PROMOTIONAL PRICE]]</f>
        <v>0</v>
      </c>
      <c r="M23" s="492" cm="1">
        <f t="array" ref="M23">ROUNDUP(Tabela134[[#This Row],[NEW PRICE]]*eurofxref_daily[],2)</f>
        <v>390.94</v>
      </c>
      <c r="N23" s="493">
        <f>Tabela134[[#This Row],[CAD PRICE]]*O23</f>
        <v>0</v>
      </c>
      <c r="O23" s="62">
        <f>SUM(Tabela134[[#This Row],[RAL 1023]:[RAL 9005]])</f>
        <v>0</v>
      </c>
      <c r="P23" s="62">
        <f>Tabela134[[#This Row],[PCS]]*Tabela134[[#This Row],[Weight (kg)]]</f>
        <v>0</v>
      </c>
      <c r="Q23" s="393"/>
      <c r="R23" s="482"/>
      <c r="S23" s="486"/>
      <c r="T23" s="466"/>
      <c r="U23" s="435"/>
      <c r="V23" s="467"/>
      <c r="W23" s="468"/>
      <c r="X23" s="436"/>
      <c r="Y23" s="470"/>
      <c r="Z23" s="469"/>
      <c r="AA23" s="449"/>
      <c r="AB23" s="402"/>
      <c r="AC23" s="402"/>
      <c r="AD23" s="403"/>
      <c r="AE23" s="30"/>
      <c r="AF23" s="30"/>
      <c r="AG23" s="30"/>
    </row>
    <row r="24" spans="2:33" ht="12" customHeight="1" thickBot="1" x14ac:dyDescent="0.3">
      <c r="B24" s="29" t="s">
        <v>286</v>
      </c>
      <c r="C24" s="90" t="s">
        <v>287</v>
      </c>
      <c r="D24" s="207" t="s">
        <v>1008</v>
      </c>
      <c r="E24" s="78" t="s">
        <v>398</v>
      </c>
      <c r="F24" s="77">
        <v>3.9</v>
      </c>
      <c r="G24" s="224">
        <v>234</v>
      </c>
      <c r="H24" s="224">
        <f>ROUNDUP(Tabela134[[#This Row],[ OLD PRICE]]*(1+PRICES!$C$3),0)</f>
        <v>281</v>
      </c>
      <c r="I24" s="175">
        <v>0.15</v>
      </c>
      <c r="J24" s="79">
        <f>Tabela134[[#This Row],[ OLD PRICE]]*Tabela134[[#This Row],[DISCOUNT per piece '[%']]]</f>
        <v>35.1</v>
      </c>
      <c r="K24" s="79">
        <f>Tabela134[[#This Row],[ OLD PRICE]]*(1-Tabela134[[#This Row],[DISCOUNT per piece '[%']]])</f>
        <v>198.9</v>
      </c>
      <c r="L24" s="176">
        <f>Tabela134[[#This Row],[PCS]]*Tabela134[[#This Row],[PROMOTIONAL PRICE]]</f>
        <v>0</v>
      </c>
      <c r="M24" s="492" cm="1">
        <f t="array" ref="M24">ROUNDUP(Tabela134[[#This Row],[NEW PRICE]]*eurofxref_daily[],2)</f>
        <v>452.08</v>
      </c>
      <c r="N24" s="493">
        <f>Tabela134[[#This Row],[CAD PRICE]]*O24</f>
        <v>0</v>
      </c>
      <c r="O24" s="62">
        <f>SUM(Tabela134[[#This Row],[RAL 1023]:[RAL 9005]])</f>
        <v>0</v>
      </c>
      <c r="P24" s="62">
        <f>Tabela134[[#This Row],[PCS]]*Tabela134[[#This Row],[Weight (kg)]]</f>
        <v>0</v>
      </c>
      <c r="Q24" s="393"/>
      <c r="R24" s="482"/>
      <c r="S24" s="486"/>
      <c r="T24" s="466"/>
      <c r="U24" s="435"/>
      <c r="V24" s="467"/>
      <c r="W24" s="468"/>
      <c r="X24" s="436"/>
      <c r="Y24" s="470"/>
      <c r="Z24" s="469"/>
      <c r="AA24" s="449"/>
      <c r="AB24" s="402"/>
      <c r="AC24" s="402"/>
      <c r="AD24" s="403"/>
      <c r="AE24" s="30"/>
      <c r="AF24" s="30"/>
      <c r="AG24" s="30"/>
    </row>
    <row r="25" spans="2:33" ht="12" customHeight="1" thickBot="1" x14ac:dyDescent="0.3">
      <c r="B25" s="45" t="s">
        <v>288</v>
      </c>
      <c r="C25" s="90" t="s">
        <v>289</v>
      </c>
      <c r="D25" s="207" t="s">
        <v>1009</v>
      </c>
      <c r="E25" s="48" t="s">
        <v>399</v>
      </c>
      <c r="F25" s="47">
        <v>4.0999999999999996</v>
      </c>
      <c r="G25" s="224">
        <v>234</v>
      </c>
      <c r="H25" s="224">
        <f>ROUNDUP(Tabela134[[#This Row],[ OLD PRICE]]*(1+PRICES!$C$3),0)</f>
        <v>281</v>
      </c>
      <c r="I25" s="175">
        <v>0.15</v>
      </c>
      <c r="J25" s="49">
        <f>Tabela134[[#This Row],[ OLD PRICE]]*Tabela134[[#This Row],[DISCOUNT per piece '[%']]]</f>
        <v>35.1</v>
      </c>
      <c r="K25" s="49">
        <f>Tabela134[[#This Row],[ OLD PRICE]]*(1-Tabela134[[#This Row],[DISCOUNT per piece '[%']]])</f>
        <v>198.9</v>
      </c>
      <c r="L25" s="178">
        <f>Tabela134[[#This Row],[PCS]]*Tabela134[[#This Row],[PROMOTIONAL PRICE]]</f>
        <v>0</v>
      </c>
      <c r="M25" s="492" cm="1">
        <f t="array" ref="M25">ROUNDUP(Tabela134[[#This Row],[NEW PRICE]]*eurofxref_daily[],2)</f>
        <v>452.08</v>
      </c>
      <c r="N25" s="493">
        <f>Tabela134[[#This Row],[CAD PRICE]]*O25</f>
        <v>0</v>
      </c>
      <c r="O25" s="62">
        <f>SUM(Tabela134[[#This Row],[RAL 1023]:[RAL 9005]])</f>
        <v>0</v>
      </c>
      <c r="P25" s="62">
        <f>Tabela134[[#This Row],[PCS]]*Tabela134[[#This Row],[Weight (kg)]]</f>
        <v>0</v>
      </c>
      <c r="Q25" s="393"/>
      <c r="R25" s="482"/>
      <c r="S25" s="486"/>
      <c r="T25" s="466"/>
      <c r="U25" s="435"/>
      <c r="V25" s="467"/>
      <c r="W25" s="468"/>
      <c r="X25" s="436"/>
      <c r="Y25" s="470"/>
      <c r="Z25" s="469"/>
      <c r="AA25" s="449"/>
      <c r="AB25" s="402"/>
      <c r="AC25" s="402"/>
      <c r="AD25" s="403"/>
      <c r="AE25" s="30"/>
      <c r="AF25" s="30"/>
      <c r="AG25" s="30"/>
    </row>
    <row r="26" spans="2:33" ht="12" customHeight="1" thickBot="1" x14ac:dyDescent="0.3">
      <c r="B26" s="29" t="s">
        <v>290</v>
      </c>
      <c r="C26" s="90" t="s">
        <v>291</v>
      </c>
      <c r="D26" s="207" t="s">
        <v>1010</v>
      </c>
      <c r="E26" s="78" t="s">
        <v>400</v>
      </c>
      <c r="F26" s="77">
        <v>6.4</v>
      </c>
      <c r="G26" s="224">
        <v>250</v>
      </c>
      <c r="H26" s="224">
        <f>ROUNDUP(Tabela134[[#This Row],[ OLD PRICE]]*(1+PRICES!$C$3),0)</f>
        <v>300</v>
      </c>
      <c r="I26" s="175">
        <v>0.15</v>
      </c>
      <c r="J26" s="79">
        <f>Tabela134[[#This Row],[ OLD PRICE]]*Tabela134[[#This Row],[DISCOUNT per piece '[%']]]</f>
        <v>37.5</v>
      </c>
      <c r="K26" s="79">
        <f>Tabela134[[#This Row],[ OLD PRICE]]*(1-Tabela134[[#This Row],[DISCOUNT per piece '[%']]])</f>
        <v>212.5</v>
      </c>
      <c r="L26" s="176">
        <f>Tabela134[[#This Row],[PCS]]*Tabela134[[#This Row],[PROMOTIONAL PRICE]]</f>
        <v>0</v>
      </c>
      <c r="M26" s="492" cm="1">
        <f t="array" ref="M26">ROUNDUP(Tabela134[[#This Row],[NEW PRICE]]*eurofxref_daily[],2)</f>
        <v>482.64</v>
      </c>
      <c r="N26" s="493">
        <f>Tabela134[[#This Row],[CAD PRICE]]*O26</f>
        <v>0</v>
      </c>
      <c r="O26" s="62">
        <f>SUM(Tabela134[[#This Row],[RAL 1023]:[RAL 9005]])</f>
        <v>0</v>
      </c>
      <c r="P26" s="62">
        <f>Tabela134[[#This Row],[PCS]]*Tabela134[[#This Row],[Weight (kg)]]</f>
        <v>0</v>
      </c>
      <c r="Q26" s="393"/>
      <c r="R26" s="482"/>
      <c r="S26" s="486"/>
      <c r="T26" s="466"/>
      <c r="U26" s="435"/>
      <c r="V26" s="467"/>
      <c r="W26" s="468"/>
      <c r="X26" s="436"/>
      <c r="Y26" s="470"/>
      <c r="Z26" s="469"/>
      <c r="AA26" s="449"/>
      <c r="AB26" s="402"/>
      <c r="AC26" s="402"/>
      <c r="AD26" s="403"/>
      <c r="AE26" s="30"/>
      <c r="AF26" s="30"/>
      <c r="AG26" s="30"/>
    </row>
    <row r="27" spans="2:33" ht="12" customHeight="1" thickBot="1" x14ac:dyDescent="0.3">
      <c r="B27" s="45" t="s">
        <v>292</v>
      </c>
      <c r="C27" s="90" t="s">
        <v>293</v>
      </c>
      <c r="D27" s="207" t="s">
        <v>1011</v>
      </c>
      <c r="E27" s="48" t="s">
        <v>401</v>
      </c>
      <c r="F27" s="47">
        <v>6.4</v>
      </c>
      <c r="G27" s="224">
        <v>250</v>
      </c>
      <c r="H27" s="224">
        <f>ROUNDUP(Tabela134[[#This Row],[ OLD PRICE]]*(1+PRICES!$C$3),0)</f>
        <v>300</v>
      </c>
      <c r="I27" s="175">
        <v>0.15</v>
      </c>
      <c r="J27" s="49">
        <f>Tabela134[[#This Row],[ OLD PRICE]]*Tabela134[[#This Row],[DISCOUNT per piece '[%']]]</f>
        <v>37.5</v>
      </c>
      <c r="K27" s="49">
        <f>Tabela134[[#This Row],[ OLD PRICE]]*(1-Tabela134[[#This Row],[DISCOUNT per piece '[%']]])</f>
        <v>212.5</v>
      </c>
      <c r="L27" s="178">
        <f>Tabela134[[#This Row],[PCS]]*Tabela134[[#This Row],[PROMOTIONAL PRICE]]</f>
        <v>0</v>
      </c>
      <c r="M27" s="492" cm="1">
        <f t="array" ref="M27">ROUNDUP(Tabela134[[#This Row],[NEW PRICE]]*eurofxref_daily[],2)</f>
        <v>482.64</v>
      </c>
      <c r="N27" s="493">
        <f>Tabela134[[#This Row],[CAD PRICE]]*O27</f>
        <v>0</v>
      </c>
      <c r="O27" s="62">
        <f>SUM(Tabela134[[#This Row],[RAL 1023]:[RAL 9005]])</f>
        <v>0</v>
      </c>
      <c r="P27" s="62">
        <f>Tabela134[[#This Row],[PCS]]*Tabela134[[#This Row],[Weight (kg)]]</f>
        <v>0</v>
      </c>
      <c r="Q27" s="393"/>
      <c r="R27" s="482"/>
      <c r="S27" s="486"/>
      <c r="T27" s="466"/>
      <c r="U27" s="435"/>
      <c r="V27" s="467"/>
      <c r="W27" s="468"/>
      <c r="X27" s="436"/>
      <c r="Y27" s="470"/>
      <c r="Z27" s="469"/>
      <c r="AA27" s="449"/>
      <c r="AB27" s="402"/>
      <c r="AC27" s="402"/>
      <c r="AD27" s="403"/>
      <c r="AE27" s="30"/>
      <c r="AF27" s="30"/>
      <c r="AG27" s="30"/>
    </row>
    <row r="28" spans="2:33" ht="12" customHeight="1" thickBot="1" x14ac:dyDescent="0.3">
      <c r="B28" s="29" t="s">
        <v>294</v>
      </c>
      <c r="C28" s="90" t="s">
        <v>295</v>
      </c>
      <c r="D28" s="207" t="s">
        <v>1012</v>
      </c>
      <c r="E28" s="78" t="s">
        <v>402</v>
      </c>
      <c r="F28" s="77">
        <v>7.4</v>
      </c>
      <c r="G28" s="224">
        <v>271</v>
      </c>
      <c r="H28" s="224">
        <f>ROUNDUP(Tabela134[[#This Row],[ OLD PRICE]]*(1+PRICES!$C$3),0)</f>
        <v>326</v>
      </c>
      <c r="I28" s="175">
        <v>0.15</v>
      </c>
      <c r="J28" s="79">
        <f>Tabela134[[#This Row],[ OLD PRICE]]*Tabela134[[#This Row],[DISCOUNT per piece '[%']]]</f>
        <v>40.65</v>
      </c>
      <c r="K28" s="79">
        <f>Tabela134[[#This Row],[ OLD PRICE]]*(1-Tabela134[[#This Row],[DISCOUNT per piece '[%']]])</f>
        <v>230.35</v>
      </c>
      <c r="L28" s="176">
        <f>Tabela134[[#This Row],[PCS]]*Tabela134[[#This Row],[PROMOTIONAL PRICE]]</f>
        <v>0</v>
      </c>
      <c r="M28" s="492" cm="1">
        <f t="array" ref="M28">ROUNDUP(Tabela134[[#This Row],[NEW PRICE]]*eurofxref_daily[],2)</f>
        <v>524.47</v>
      </c>
      <c r="N28" s="493">
        <f>Tabela134[[#This Row],[CAD PRICE]]*O28</f>
        <v>0</v>
      </c>
      <c r="O28" s="62">
        <f>SUM(Tabela134[[#This Row],[RAL 1023]:[RAL 9005]])</f>
        <v>0</v>
      </c>
      <c r="P28" s="62">
        <f>Tabela134[[#This Row],[PCS]]*Tabela134[[#This Row],[Weight (kg)]]</f>
        <v>0</v>
      </c>
      <c r="Q28" s="393"/>
      <c r="R28" s="482"/>
      <c r="S28" s="486"/>
      <c r="T28" s="466"/>
      <c r="U28" s="435"/>
      <c r="V28" s="467"/>
      <c r="W28" s="468"/>
      <c r="X28" s="436"/>
      <c r="Y28" s="470"/>
      <c r="Z28" s="469"/>
      <c r="AA28" s="449"/>
      <c r="AB28" s="402"/>
      <c r="AC28" s="402"/>
      <c r="AD28" s="403"/>
      <c r="AE28" s="30"/>
      <c r="AF28" s="30"/>
      <c r="AG28" s="30"/>
    </row>
    <row r="29" spans="2:33" ht="12" customHeight="1" thickBot="1" x14ac:dyDescent="0.3">
      <c r="B29" s="45" t="s">
        <v>296</v>
      </c>
      <c r="C29" s="90" t="s">
        <v>297</v>
      </c>
      <c r="D29" s="207" t="s">
        <v>1013</v>
      </c>
      <c r="E29" s="48" t="s">
        <v>403</v>
      </c>
      <c r="F29" s="47">
        <v>7.2</v>
      </c>
      <c r="G29" s="224">
        <v>271</v>
      </c>
      <c r="H29" s="224">
        <f>ROUNDUP(Tabela134[[#This Row],[ OLD PRICE]]*(1+PRICES!$C$3),0)</f>
        <v>326</v>
      </c>
      <c r="I29" s="175">
        <v>0.15</v>
      </c>
      <c r="J29" s="49">
        <f>Tabela134[[#This Row],[ OLD PRICE]]*Tabela134[[#This Row],[DISCOUNT per piece '[%']]]</f>
        <v>40.65</v>
      </c>
      <c r="K29" s="49">
        <f>Tabela134[[#This Row],[ OLD PRICE]]*(1-Tabela134[[#This Row],[DISCOUNT per piece '[%']]])</f>
        <v>230.35</v>
      </c>
      <c r="L29" s="178">
        <f>Tabela134[[#This Row],[PCS]]*Tabela134[[#This Row],[PROMOTIONAL PRICE]]</f>
        <v>0</v>
      </c>
      <c r="M29" s="492" cm="1">
        <f t="array" ref="M29">ROUNDUP(Tabela134[[#This Row],[NEW PRICE]]*eurofxref_daily[],2)</f>
        <v>524.47</v>
      </c>
      <c r="N29" s="493">
        <f>Tabela134[[#This Row],[CAD PRICE]]*O29</f>
        <v>0</v>
      </c>
      <c r="O29" s="62">
        <f>SUM(Tabela134[[#This Row],[RAL 1023]:[RAL 9005]])</f>
        <v>0</v>
      </c>
      <c r="P29" s="62">
        <f>Tabela134[[#This Row],[PCS]]*Tabela134[[#This Row],[Weight (kg)]]</f>
        <v>0</v>
      </c>
      <c r="Q29" s="393"/>
      <c r="R29" s="482"/>
      <c r="S29" s="486"/>
      <c r="T29" s="466"/>
      <c r="U29" s="435"/>
      <c r="V29" s="467"/>
      <c r="W29" s="468"/>
      <c r="X29" s="436"/>
      <c r="Y29" s="470"/>
      <c r="Z29" s="469"/>
      <c r="AA29" s="449"/>
      <c r="AB29" s="402"/>
      <c r="AC29" s="402"/>
      <c r="AD29" s="403"/>
      <c r="AE29" s="30"/>
      <c r="AF29" s="30"/>
      <c r="AG29" s="30"/>
    </row>
    <row r="30" spans="2:33" ht="12" customHeight="1" thickBot="1" x14ac:dyDescent="0.25">
      <c r="B30" s="122" t="s">
        <v>453</v>
      </c>
      <c r="C30" s="125" t="s">
        <v>992</v>
      </c>
      <c r="D30" s="126"/>
      <c r="E30" s="124"/>
      <c r="F30" s="124"/>
      <c r="G30" s="358"/>
      <c r="H30" s="124"/>
      <c r="I30" s="124"/>
      <c r="J30" s="124"/>
      <c r="K30" s="124"/>
      <c r="L30" s="124"/>
      <c r="M30" s="124"/>
      <c r="N30" s="124"/>
      <c r="O30" s="124"/>
      <c r="P30" s="124"/>
      <c r="Q30" s="401"/>
      <c r="R30" s="80"/>
      <c r="S30" s="80"/>
      <c r="T30" s="80"/>
      <c r="U30" s="80"/>
      <c r="V30" s="80"/>
      <c r="W30" s="80"/>
      <c r="X30" s="80"/>
      <c r="Y30" s="80"/>
      <c r="Z30" s="457"/>
      <c r="AA30" s="457"/>
      <c r="AB30" s="202"/>
      <c r="AC30" s="202"/>
      <c r="AD30" s="201"/>
      <c r="AE30" s="30"/>
      <c r="AF30" s="30"/>
      <c r="AG30" s="30"/>
    </row>
    <row r="31" spans="2:33" ht="12" customHeight="1" thickBot="1" x14ac:dyDescent="0.3">
      <c r="B31" s="29" t="s">
        <v>298</v>
      </c>
      <c r="C31" s="90" t="s">
        <v>299</v>
      </c>
      <c r="D31" s="204" t="s">
        <v>1014</v>
      </c>
      <c r="E31" s="78" t="s">
        <v>404</v>
      </c>
      <c r="F31" s="77">
        <v>4</v>
      </c>
      <c r="G31" s="224">
        <v>69</v>
      </c>
      <c r="H31" s="224">
        <f>ROUNDUP(Tabela134[[#This Row],[ OLD PRICE]]*(1+PRICES!$C$3),0)</f>
        <v>83</v>
      </c>
      <c r="I31" s="175">
        <v>0.15</v>
      </c>
      <c r="J31" s="79">
        <f>Tabela134[[#This Row],[ OLD PRICE]]*Tabela134[[#This Row],[DISCOUNT per piece '[%']]]</f>
        <v>10.35</v>
      </c>
      <c r="K31" s="79">
        <f>Tabela134[[#This Row],[ OLD PRICE]]*(1-Tabela134[[#This Row],[DISCOUNT per piece '[%']]])</f>
        <v>58.65</v>
      </c>
      <c r="L31" s="176">
        <f>Tabela134[[#This Row],[PCS]]*Tabela134[[#This Row],[PROMOTIONAL PRICE]]</f>
        <v>0</v>
      </c>
      <c r="M31" s="492" cm="1">
        <f t="array" ref="M31">ROUNDUP(Tabela134[[#This Row],[NEW PRICE]]*eurofxref_daily[],2)</f>
        <v>133.54</v>
      </c>
      <c r="N31" s="493">
        <f>Tabela134[[#This Row],[CAD PRICE]]*O31</f>
        <v>0</v>
      </c>
      <c r="O31" s="62">
        <f>SUM(Tabela134[[#This Row],[RAL 1023]:[RAL 9005]])</f>
        <v>0</v>
      </c>
      <c r="P31" s="62">
        <f>Tabela134[[#This Row],[PCS]]*Tabela134[[#This Row],[Weight (kg)]]</f>
        <v>0</v>
      </c>
      <c r="Q31" s="393"/>
      <c r="R31" s="482"/>
      <c r="S31" s="486"/>
      <c r="T31" s="466"/>
      <c r="U31" s="435"/>
      <c r="V31" s="467"/>
      <c r="W31" s="468"/>
      <c r="X31" s="436"/>
      <c r="Y31" s="470"/>
      <c r="Z31" s="469"/>
      <c r="AA31" s="449"/>
      <c r="AB31" s="402"/>
      <c r="AC31" s="402"/>
      <c r="AD31" s="403"/>
      <c r="AE31" s="30"/>
      <c r="AF31" s="30"/>
      <c r="AG31" s="30"/>
    </row>
    <row r="32" spans="2:33" ht="12" customHeight="1" thickBot="1" x14ac:dyDescent="0.3">
      <c r="B32" s="45" t="s">
        <v>300</v>
      </c>
      <c r="C32" s="90" t="s">
        <v>301</v>
      </c>
      <c r="D32" s="204" t="s">
        <v>1015</v>
      </c>
      <c r="E32" s="48" t="s">
        <v>405</v>
      </c>
      <c r="F32" s="47">
        <v>6</v>
      </c>
      <c r="G32" s="224">
        <v>106</v>
      </c>
      <c r="H32" s="224">
        <f>ROUNDUP(Tabela134[[#This Row],[ OLD PRICE]]*(1+PRICES!$C$3),0)</f>
        <v>128</v>
      </c>
      <c r="I32" s="175">
        <v>0.15</v>
      </c>
      <c r="J32" s="49">
        <f>Tabela134[[#This Row],[ OLD PRICE]]*Tabela134[[#This Row],[DISCOUNT per piece '[%']]]</f>
        <v>15.899999999999999</v>
      </c>
      <c r="K32" s="49">
        <f>Tabela134[[#This Row],[ OLD PRICE]]*(1-Tabela134[[#This Row],[DISCOUNT per piece '[%']]])</f>
        <v>90.1</v>
      </c>
      <c r="L32" s="178">
        <f>Tabela134[[#This Row],[PCS]]*Tabela134[[#This Row],[PROMOTIONAL PRICE]]</f>
        <v>0</v>
      </c>
      <c r="M32" s="492" cm="1">
        <f t="array" ref="M32">ROUNDUP(Tabela134[[#This Row],[NEW PRICE]]*eurofxref_daily[],2)</f>
        <v>205.92999999999998</v>
      </c>
      <c r="N32" s="493">
        <f>Tabela134[[#This Row],[CAD PRICE]]*O32</f>
        <v>0</v>
      </c>
      <c r="O32" s="62">
        <f>SUM(Tabela134[[#This Row],[RAL 1023]:[RAL 9005]])</f>
        <v>0</v>
      </c>
      <c r="P32" s="62">
        <f>Tabela134[[#This Row],[PCS]]*Tabela134[[#This Row],[Weight (kg)]]</f>
        <v>0</v>
      </c>
      <c r="Q32" s="393"/>
      <c r="R32" s="482"/>
      <c r="S32" s="486"/>
      <c r="T32" s="466"/>
      <c r="U32" s="435"/>
      <c r="V32" s="467"/>
      <c r="W32" s="468"/>
      <c r="X32" s="436"/>
      <c r="Y32" s="470"/>
      <c r="Z32" s="469"/>
      <c r="AA32" s="449"/>
      <c r="AB32" s="402"/>
      <c r="AC32" s="402"/>
      <c r="AD32" s="403"/>
      <c r="AE32" s="30"/>
      <c r="AF32" s="30"/>
      <c r="AG32" s="30"/>
    </row>
    <row r="33" spans="2:33" ht="12" customHeight="1" thickBot="1" x14ac:dyDescent="0.3">
      <c r="B33" s="29" t="s">
        <v>302</v>
      </c>
      <c r="C33" s="90" t="s">
        <v>303</v>
      </c>
      <c r="D33" s="204" t="s">
        <v>1016</v>
      </c>
      <c r="E33" s="78" t="s">
        <v>406</v>
      </c>
      <c r="F33" s="77">
        <v>9</v>
      </c>
      <c r="G33" s="224">
        <v>138</v>
      </c>
      <c r="H33" s="224">
        <f>ROUNDUP(Tabela134[[#This Row],[ OLD PRICE]]*(1+PRICES!$C$3),0)</f>
        <v>166</v>
      </c>
      <c r="I33" s="175">
        <v>0.15</v>
      </c>
      <c r="J33" s="79">
        <f>Tabela134[[#This Row],[ OLD PRICE]]*Tabela134[[#This Row],[DISCOUNT per piece '[%']]]</f>
        <v>20.7</v>
      </c>
      <c r="K33" s="79">
        <f>Tabela134[[#This Row],[ OLD PRICE]]*(1-Tabela134[[#This Row],[DISCOUNT per piece '[%']]])</f>
        <v>117.3</v>
      </c>
      <c r="L33" s="176">
        <f>Tabela134[[#This Row],[PCS]]*Tabela134[[#This Row],[PROMOTIONAL PRICE]]</f>
        <v>0</v>
      </c>
      <c r="M33" s="492" cm="1">
        <f t="array" ref="M33">ROUNDUP(Tabela134[[#This Row],[NEW PRICE]]*eurofxref_daily[],2)</f>
        <v>267.07</v>
      </c>
      <c r="N33" s="493">
        <f>Tabela134[[#This Row],[CAD PRICE]]*O33</f>
        <v>0</v>
      </c>
      <c r="O33" s="62">
        <f>SUM(Tabela134[[#This Row],[RAL 1023]:[RAL 9005]])</f>
        <v>0</v>
      </c>
      <c r="P33" s="62">
        <f>Tabela134[[#This Row],[PCS]]*Tabela134[[#This Row],[Weight (kg)]]</f>
        <v>0</v>
      </c>
      <c r="Q33" s="393"/>
      <c r="R33" s="482"/>
      <c r="S33" s="486"/>
      <c r="T33" s="466"/>
      <c r="U33" s="435"/>
      <c r="V33" s="467"/>
      <c r="W33" s="468"/>
      <c r="X33" s="436"/>
      <c r="Y33" s="470"/>
      <c r="Z33" s="469"/>
      <c r="AA33" s="449"/>
      <c r="AB33" s="402"/>
      <c r="AC33" s="402"/>
      <c r="AD33" s="403"/>
      <c r="AE33" s="30"/>
      <c r="AF33" s="30"/>
      <c r="AG33" s="30"/>
    </row>
    <row r="34" spans="2:33" ht="12" customHeight="1" thickBot="1" x14ac:dyDescent="0.3">
      <c r="B34" s="45" t="s">
        <v>304</v>
      </c>
      <c r="C34" s="90" t="s">
        <v>305</v>
      </c>
      <c r="D34" s="204" t="s">
        <v>1017</v>
      </c>
      <c r="E34" s="48" t="s">
        <v>407</v>
      </c>
      <c r="F34" s="47">
        <v>11.5</v>
      </c>
      <c r="G34" s="224">
        <v>170</v>
      </c>
      <c r="H34" s="224">
        <f>ROUNDUP(Tabela134[[#This Row],[ OLD PRICE]]*(1+PRICES!$C$3),0)</f>
        <v>204</v>
      </c>
      <c r="I34" s="175">
        <v>0.15</v>
      </c>
      <c r="J34" s="49">
        <f>Tabela134[[#This Row],[ OLD PRICE]]*Tabela134[[#This Row],[DISCOUNT per piece '[%']]]</f>
        <v>25.5</v>
      </c>
      <c r="K34" s="49">
        <f>Tabela134[[#This Row],[ OLD PRICE]]*(1-Tabela134[[#This Row],[DISCOUNT per piece '[%']]])</f>
        <v>144.5</v>
      </c>
      <c r="L34" s="178">
        <f>Tabela134[[#This Row],[PCS]]*Tabela134[[#This Row],[PROMOTIONAL PRICE]]</f>
        <v>0</v>
      </c>
      <c r="M34" s="492" cm="1">
        <f t="array" ref="M34">ROUNDUP(Tabela134[[#This Row],[NEW PRICE]]*eurofxref_daily[],2)</f>
        <v>328.2</v>
      </c>
      <c r="N34" s="493">
        <f>Tabela134[[#This Row],[CAD PRICE]]*O34</f>
        <v>0</v>
      </c>
      <c r="O34" s="62">
        <f>SUM(Tabela134[[#This Row],[RAL 1023]:[RAL 9005]])</f>
        <v>0</v>
      </c>
      <c r="P34" s="62">
        <f>Tabela134[[#This Row],[PCS]]*Tabela134[[#This Row],[Weight (kg)]]</f>
        <v>0</v>
      </c>
      <c r="Q34" s="393"/>
      <c r="R34" s="482"/>
      <c r="S34" s="486"/>
      <c r="T34" s="466"/>
      <c r="U34" s="435"/>
      <c r="V34" s="467"/>
      <c r="W34" s="468"/>
      <c r="X34" s="436"/>
      <c r="Y34" s="470"/>
      <c r="Z34" s="469"/>
      <c r="AA34" s="449"/>
      <c r="AB34" s="402"/>
      <c r="AC34" s="402"/>
      <c r="AD34" s="403"/>
      <c r="AE34" s="30"/>
      <c r="AF34" s="30"/>
      <c r="AG34" s="30"/>
    </row>
    <row r="35" spans="2:33" ht="12" customHeight="1" thickBot="1" x14ac:dyDescent="0.3">
      <c r="B35" s="29" t="s">
        <v>306</v>
      </c>
      <c r="C35" s="90" t="s">
        <v>307</v>
      </c>
      <c r="D35" s="204" t="s">
        <v>1018</v>
      </c>
      <c r="E35" s="78" t="s">
        <v>408</v>
      </c>
      <c r="F35" s="77">
        <v>14</v>
      </c>
      <c r="G35" s="224">
        <v>207</v>
      </c>
      <c r="H35" s="224">
        <f>ROUNDUP(Tabela134[[#This Row],[ OLD PRICE]]*(1+PRICES!$C$3),0)</f>
        <v>249</v>
      </c>
      <c r="I35" s="175">
        <v>0.15</v>
      </c>
      <c r="J35" s="79">
        <f>Tabela134[[#This Row],[ OLD PRICE]]*Tabela134[[#This Row],[DISCOUNT per piece '[%']]]</f>
        <v>31.049999999999997</v>
      </c>
      <c r="K35" s="79">
        <f>Tabela134[[#This Row],[ OLD PRICE]]*(1-Tabela134[[#This Row],[DISCOUNT per piece '[%']]])</f>
        <v>175.95</v>
      </c>
      <c r="L35" s="176">
        <f>Tabela134[[#This Row],[PCS]]*Tabela134[[#This Row],[PROMOTIONAL PRICE]]</f>
        <v>0</v>
      </c>
      <c r="M35" s="492" cm="1">
        <f t="array" ref="M35">ROUNDUP(Tabela134[[#This Row],[NEW PRICE]]*eurofxref_daily[],2)</f>
        <v>400.59999999999997</v>
      </c>
      <c r="N35" s="493">
        <f>Tabela134[[#This Row],[CAD PRICE]]*O35</f>
        <v>0</v>
      </c>
      <c r="O35" s="62">
        <f>SUM(Tabela134[[#This Row],[RAL 1023]:[RAL 9005]])</f>
        <v>0</v>
      </c>
      <c r="P35" s="62">
        <f>Tabela134[[#This Row],[PCS]]*Tabela134[[#This Row],[Weight (kg)]]</f>
        <v>0</v>
      </c>
      <c r="Q35" s="393"/>
      <c r="R35" s="482"/>
      <c r="S35" s="486"/>
      <c r="T35" s="466"/>
      <c r="U35" s="435"/>
      <c r="V35" s="467"/>
      <c r="W35" s="468"/>
      <c r="X35" s="436"/>
      <c r="Y35" s="470"/>
      <c r="Z35" s="469"/>
      <c r="AA35" s="449"/>
      <c r="AB35" s="402"/>
      <c r="AC35" s="402"/>
      <c r="AD35" s="403"/>
      <c r="AE35" s="30"/>
      <c r="AF35" s="30"/>
      <c r="AG35" s="30"/>
    </row>
    <row r="36" spans="2:33" ht="12" customHeight="1" thickBot="1" x14ac:dyDescent="0.3">
      <c r="B36" s="45" t="s">
        <v>308</v>
      </c>
      <c r="C36" s="90" t="s">
        <v>309</v>
      </c>
      <c r="D36" s="204" t="s">
        <v>1019</v>
      </c>
      <c r="E36" s="48" t="s">
        <v>409</v>
      </c>
      <c r="F36" s="47">
        <v>16</v>
      </c>
      <c r="G36" s="224">
        <v>265</v>
      </c>
      <c r="H36" s="224">
        <f>ROUNDUP(Tabela134[[#This Row],[ OLD PRICE]]*(1+PRICES!$C$3),0)</f>
        <v>318</v>
      </c>
      <c r="I36" s="175">
        <v>0.15</v>
      </c>
      <c r="J36" s="49">
        <f>Tabela134[[#This Row],[ OLD PRICE]]*Tabela134[[#This Row],[DISCOUNT per piece '[%']]]</f>
        <v>39.75</v>
      </c>
      <c r="K36" s="49">
        <f>Tabela134[[#This Row],[ OLD PRICE]]*(1-Tabela134[[#This Row],[DISCOUNT per piece '[%']]])</f>
        <v>225.25</v>
      </c>
      <c r="L36" s="178">
        <f>Tabela134[[#This Row],[PCS]]*Tabela134[[#This Row],[PROMOTIONAL PRICE]]</f>
        <v>0</v>
      </c>
      <c r="M36" s="492" cm="1">
        <f t="array" ref="M36">ROUNDUP(Tabela134[[#This Row],[NEW PRICE]]*eurofxref_daily[],2)</f>
        <v>511.59999999999997</v>
      </c>
      <c r="N36" s="493">
        <f>Tabela134[[#This Row],[CAD PRICE]]*O36</f>
        <v>0</v>
      </c>
      <c r="O36" s="62">
        <f>SUM(Tabela134[[#This Row],[RAL 1023]:[RAL 9005]])</f>
        <v>0</v>
      </c>
      <c r="P36" s="62">
        <f>Tabela134[[#This Row],[PCS]]*Tabela134[[#This Row],[Weight (kg)]]</f>
        <v>0</v>
      </c>
      <c r="Q36" s="393"/>
      <c r="R36" s="482"/>
      <c r="S36" s="486"/>
      <c r="T36" s="466"/>
      <c r="U36" s="435"/>
      <c r="V36" s="467"/>
      <c r="W36" s="468"/>
      <c r="X36" s="436"/>
      <c r="Y36" s="470"/>
      <c r="Z36" s="469"/>
      <c r="AA36" s="449"/>
      <c r="AB36" s="402"/>
      <c r="AC36" s="402"/>
      <c r="AD36" s="403"/>
      <c r="AE36" s="30"/>
      <c r="AF36" s="30"/>
      <c r="AG36" s="30"/>
    </row>
    <row r="37" spans="2:33" ht="12" customHeight="1" thickBot="1" x14ac:dyDescent="0.3">
      <c r="B37" s="29" t="s">
        <v>310</v>
      </c>
      <c r="C37" s="90" t="s">
        <v>311</v>
      </c>
      <c r="D37" s="204" t="s">
        <v>1020</v>
      </c>
      <c r="E37" s="78" t="s">
        <v>410</v>
      </c>
      <c r="F37" s="77">
        <v>19</v>
      </c>
      <c r="G37" s="224">
        <v>308</v>
      </c>
      <c r="H37" s="224">
        <f>ROUNDUP(Tabela134[[#This Row],[ OLD PRICE]]*(1+PRICES!$C$3),0)</f>
        <v>370</v>
      </c>
      <c r="I37" s="175">
        <v>0.15</v>
      </c>
      <c r="J37" s="79">
        <f>Tabela134[[#This Row],[ OLD PRICE]]*Tabela134[[#This Row],[DISCOUNT per piece '[%']]]</f>
        <v>46.199999999999996</v>
      </c>
      <c r="K37" s="79">
        <f>Tabela134[[#This Row],[ OLD PRICE]]*(1-Tabela134[[#This Row],[DISCOUNT per piece '[%']]])</f>
        <v>261.8</v>
      </c>
      <c r="L37" s="176">
        <f>Tabela134[[#This Row],[PCS]]*Tabela134[[#This Row],[PROMOTIONAL PRICE]]</f>
        <v>0</v>
      </c>
      <c r="M37" s="492" cm="1">
        <f t="array" ref="M37">ROUNDUP(Tabela134[[#This Row],[NEW PRICE]]*eurofxref_daily[],2)</f>
        <v>595.26</v>
      </c>
      <c r="N37" s="493">
        <f>Tabela134[[#This Row],[CAD PRICE]]*O37</f>
        <v>0</v>
      </c>
      <c r="O37" s="62">
        <f>SUM(Tabela134[[#This Row],[RAL 1023]:[RAL 9005]])</f>
        <v>0</v>
      </c>
      <c r="P37" s="62">
        <f>Tabela134[[#This Row],[PCS]]*Tabela134[[#This Row],[Weight (kg)]]</f>
        <v>0</v>
      </c>
      <c r="Q37" s="393"/>
      <c r="R37" s="482"/>
      <c r="S37" s="486"/>
      <c r="T37" s="466"/>
      <c r="U37" s="435"/>
      <c r="V37" s="467"/>
      <c r="W37" s="468"/>
      <c r="X37" s="436"/>
      <c r="Y37" s="470"/>
      <c r="Z37" s="469"/>
      <c r="AA37" s="449"/>
      <c r="AB37" s="402"/>
      <c r="AC37" s="402"/>
      <c r="AD37" s="403"/>
      <c r="AE37" s="30"/>
      <c r="AF37" s="30"/>
      <c r="AG37" s="30"/>
    </row>
    <row r="38" spans="2:33" ht="12" customHeight="1" thickBot="1" x14ac:dyDescent="0.3">
      <c r="B38" s="45" t="s">
        <v>312</v>
      </c>
      <c r="C38" s="90" t="s">
        <v>313</v>
      </c>
      <c r="D38" s="204" t="s">
        <v>1021</v>
      </c>
      <c r="E38" s="48" t="s">
        <v>411</v>
      </c>
      <c r="F38" s="47">
        <v>20</v>
      </c>
      <c r="G38" s="224">
        <v>356</v>
      </c>
      <c r="H38" s="224">
        <f>ROUNDUP(Tabela134[[#This Row],[ OLD PRICE]]*(1+PRICES!$C$3),0)</f>
        <v>428</v>
      </c>
      <c r="I38" s="175">
        <v>0.15</v>
      </c>
      <c r="J38" s="49">
        <f>Tabela134[[#This Row],[ OLD PRICE]]*Tabela134[[#This Row],[DISCOUNT per piece '[%']]]</f>
        <v>53.4</v>
      </c>
      <c r="K38" s="49">
        <f>Tabela134[[#This Row],[ OLD PRICE]]*(1-Tabela134[[#This Row],[DISCOUNT per piece '[%']]])</f>
        <v>302.59999999999997</v>
      </c>
      <c r="L38" s="178">
        <f>Tabela134[[#This Row],[PCS]]*Tabela134[[#This Row],[PROMOTIONAL PRICE]]</f>
        <v>0</v>
      </c>
      <c r="M38" s="492" cm="1">
        <f t="array" ref="M38">ROUNDUP(Tabela134[[#This Row],[NEW PRICE]]*eurofxref_daily[],2)</f>
        <v>688.56999999999994</v>
      </c>
      <c r="N38" s="493">
        <f>Tabela134[[#This Row],[CAD PRICE]]*O38</f>
        <v>0</v>
      </c>
      <c r="O38" s="62">
        <f>SUM(Tabela134[[#This Row],[RAL 1023]:[RAL 9005]])</f>
        <v>0</v>
      </c>
      <c r="P38" s="62">
        <f>Tabela134[[#This Row],[PCS]]*Tabela134[[#This Row],[Weight (kg)]]</f>
        <v>0</v>
      </c>
      <c r="Q38" s="393"/>
      <c r="R38" s="482"/>
      <c r="S38" s="486"/>
      <c r="T38" s="466"/>
      <c r="U38" s="435"/>
      <c r="V38" s="467"/>
      <c r="W38" s="468"/>
      <c r="X38" s="436"/>
      <c r="Y38" s="470"/>
      <c r="Z38" s="469"/>
      <c r="AA38" s="449"/>
      <c r="AB38" s="402"/>
      <c r="AC38" s="402"/>
      <c r="AD38" s="403"/>
      <c r="AE38" s="30"/>
      <c r="AF38" s="30"/>
      <c r="AG38" s="30"/>
    </row>
    <row r="39" spans="2:33" ht="12" customHeight="1" thickBot="1" x14ac:dyDescent="0.3">
      <c r="B39" s="29" t="s">
        <v>314</v>
      </c>
      <c r="C39" s="91" t="s">
        <v>928</v>
      </c>
      <c r="D39" s="204" t="s">
        <v>1022</v>
      </c>
      <c r="E39" s="78" t="s">
        <v>412</v>
      </c>
      <c r="F39" s="77">
        <v>2</v>
      </c>
      <c r="G39" s="224">
        <v>45</v>
      </c>
      <c r="H39" s="224">
        <f>ROUNDUP(Tabela134[[#This Row],[ OLD PRICE]]*(1+PRICES!$C$3),0)</f>
        <v>54</v>
      </c>
      <c r="I39" s="175">
        <v>0.15</v>
      </c>
      <c r="J39" s="79">
        <f>Tabela134[[#This Row],[ OLD PRICE]]*Tabela134[[#This Row],[DISCOUNT per piece '[%']]]</f>
        <v>6.75</v>
      </c>
      <c r="K39" s="79">
        <f>Tabela134[[#This Row],[ OLD PRICE]]*(1-Tabela134[[#This Row],[DISCOUNT per piece '[%']]])</f>
        <v>38.25</v>
      </c>
      <c r="L39" s="176">
        <f>Tabela134[[#This Row],[PCS]]*Tabela134[[#This Row],[PROMOTIONAL PRICE]]</f>
        <v>0</v>
      </c>
      <c r="M39" s="492" cm="1">
        <f t="array" ref="M39">ROUNDUP(Tabela134[[#This Row],[NEW PRICE]]*eurofxref_daily[],2)</f>
        <v>86.88000000000001</v>
      </c>
      <c r="N39" s="493">
        <f>Tabela134[[#This Row],[CAD PRICE]]*O39</f>
        <v>0</v>
      </c>
      <c r="O39" s="62">
        <f>SUM(Tabela134[[#This Row],[RAL 1023]:[RAL 9005]])</f>
        <v>0</v>
      </c>
      <c r="P39" s="62">
        <f>Tabela134[[#This Row],[PCS]]*Tabela134[[#This Row],[Weight (kg)]]</f>
        <v>0</v>
      </c>
      <c r="Q39" s="393"/>
      <c r="R39" s="482"/>
      <c r="S39" s="486"/>
      <c r="T39" s="466"/>
      <c r="U39" s="435"/>
      <c r="V39" s="467"/>
      <c r="W39" s="468"/>
      <c r="X39" s="436"/>
      <c r="Y39" s="470"/>
      <c r="Z39" s="469"/>
      <c r="AA39" s="449"/>
      <c r="AB39" s="402"/>
      <c r="AC39" s="402"/>
      <c r="AD39" s="403"/>
      <c r="AE39" s="30"/>
      <c r="AF39" s="30"/>
      <c r="AG39" s="30"/>
    </row>
    <row r="40" spans="2:33" ht="12" customHeight="1" thickBot="1" x14ac:dyDescent="0.3">
      <c r="B40" s="45" t="s">
        <v>315</v>
      </c>
      <c r="C40" s="92" t="s">
        <v>929</v>
      </c>
      <c r="D40" s="204" t="s">
        <v>1023</v>
      </c>
      <c r="E40" s="48" t="s">
        <v>413</v>
      </c>
      <c r="F40" s="47">
        <v>4</v>
      </c>
      <c r="G40" s="224">
        <v>80</v>
      </c>
      <c r="H40" s="224">
        <f>ROUNDUP(Tabela134[[#This Row],[ OLD PRICE]]*(1+PRICES!$C$3),0)</f>
        <v>96</v>
      </c>
      <c r="I40" s="175">
        <v>0.15</v>
      </c>
      <c r="J40" s="49">
        <f>Tabela134[[#This Row],[ OLD PRICE]]*Tabela134[[#This Row],[DISCOUNT per piece '[%']]]</f>
        <v>12</v>
      </c>
      <c r="K40" s="49">
        <f>Tabela134[[#This Row],[ OLD PRICE]]*(1-Tabela134[[#This Row],[DISCOUNT per piece '[%']]])</f>
        <v>68</v>
      </c>
      <c r="L40" s="178">
        <f>Tabela134[[#This Row],[PCS]]*Tabela134[[#This Row],[PROMOTIONAL PRICE]]</f>
        <v>0</v>
      </c>
      <c r="M40" s="492" cm="1">
        <f t="array" ref="M40">ROUNDUP(Tabela134[[#This Row],[NEW PRICE]]*eurofxref_daily[],2)</f>
        <v>154.44999999999999</v>
      </c>
      <c r="N40" s="493">
        <f>Tabela134[[#This Row],[CAD PRICE]]*O40</f>
        <v>0</v>
      </c>
      <c r="O40" s="62">
        <f>SUM(Tabela134[[#This Row],[RAL 1023]:[RAL 9005]])</f>
        <v>0</v>
      </c>
      <c r="P40" s="62">
        <f>Tabela134[[#This Row],[PCS]]*Tabela134[[#This Row],[Weight (kg)]]</f>
        <v>0</v>
      </c>
      <c r="Q40" s="393"/>
      <c r="R40" s="482"/>
      <c r="S40" s="486"/>
      <c r="T40" s="466"/>
      <c r="U40" s="435"/>
      <c r="V40" s="467"/>
      <c r="W40" s="468"/>
      <c r="X40" s="436"/>
      <c r="Y40" s="470"/>
      <c r="Z40" s="469"/>
      <c r="AA40" s="449"/>
      <c r="AB40" s="402"/>
      <c r="AC40" s="402"/>
      <c r="AD40" s="403"/>
      <c r="AE40" s="30"/>
      <c r="AF40" s="30"/>
      <c r="AG40" s="30"/>
    </row>
    <row r="41" spans="2:33" ht="12" customHeight="1" thickBot="1" x14ac:dyDescent="0.3">
      <c r="B41" s="29" t="s">
        <v>316</v>
      </c>
      <c r="C41" s="92" t="s">
        <v>930</v>
      </c>
      <c r="D41" s="204" t="s">
        <v>1024</v>
      </c>
      <c r="E41" s="48" t="s">
        <v>414</v>
      </c>
      <c r="F41" s="47">
        <v>6</v>
      </c>
      <c r="G41" s="224">
        <v>112</v>
      </c>
      <c r="H41" s="224">
        <f>ROUNDUP(Tabela134[[#This Row],[ OLD PRICE]]*(1+PRICES!$C$3),0)</f>
        <v>135</v>
      </c>
      <c r="I41" s="175">
        <v>0.15</v>
      </c>
      <c r="J41" s="49">
        <f>Tabela134[[#This Row],[ OLD PRICE]]*Tabela134[[#This Row],[DISCOUNT per piece '[%']]]</f>
        <v>16.8</v>
      </c>
      <c r="K41" s="49">
        <f>Tabela134[[#This Row],[ OLD PRICE]]*(1-Tabela134[[#This Row],[DISCOUNT per piece '[%']]])</f>
        <v>95.2</v>
      </c>
      <c r="L41" s="178">
        <f>Tabela134[[#This Row],[PCS]]*Tabela134[[#This Row],[PROMOTIONAL PRICE]]</f>
        <v>0</v>
      </c>
      <c r="M41" s="492" cm="1">
        <f t="array" ref="M41">ROUNDUP(Tabela134[[#This Row],[NEW PRICE]]*eurofxref_daily[],2)</f>
        <v>217.19</v>
      </c>
      <c r="N41" s="493">
        <f>Tabela134[[#This Row],[CAD PRICE]]*O41</f>
        <v>0</v>
      </c>
      <c r="O41" s="62">
        <f>SUM(Tabela134[[#This Row],[RAL 1023]:[RAL 9005]])</f>
        <v>0</v>
      </c>
      <c r="P41" s="62">
        <f>Tabela134[[#This Row],[PCS]]*Tabela134[[#This Row],[Weight (kg)]]</f>
        <v>0</v>
      </c>
      <c r="Q41" s="393"/>
      <c r="R41" s="482"/>
      <c r="S41" s="486"/>
      <c r="T41" s="466"/>
      <c r="U41" s="435"/>
      <c r="V41" s="467"/>
      <c r="W41" s="468"/>
      <c r="X41" s="436"/>
      <c r="Y41" s="470"/>
      <c r="Z41" s="469"/>
      <c r="AA41" s="449"/>
      <c r="AB41" s="402"/>
      <c r="AC41" s="402"/>
      <c r="AD41" s="403"/>
      <c r="AE41" s="30"/>
      <c r="AF41" s="30"/>
      <c r="AG41" s="30"/>
    </row>
    <row r="42" spans="2:33" ht="12" customHeight="1" thickBot="1" x14ac:dyDescent="0.3">
      <c r="B42" s="45" t="s">
        <v>317</v>
      </c>
      <c r="C42" s="92" t="s">
        <v>931</v>
      </c>
      <c r="D42" s="204" t="s">
        <v>1025</v>
      </c>
      <c r="E42" s="78" t="s">
        <v>415</v>
      </c>
      <c r="F42" s="77">
        <v>8</v>
      </c>
      <c r="G42" s="224">
        <v>138</v>
      </c>
      <c r="H42" s="224">
        <f>ROUNDUP(Tabela134[[#This Row],[ OLD PRICE]]*(1+PRICES!$C$3),0)</f>
        <v>166</v>
      </c>
      <c r="I42" s="175">
        <v>0.15</v>
      </c>
      <c r="J42" s="79">
        <f>Tabela134[[#This Row],[ OLD PRICE]]*Tabela134[[#This Row],[DISCOUNT per piece '[%']]]</f>
        <v>20.7</v>
      </c>
      <c r="K42" s="79">
        <f>Tabela134[[#This Row],[ OLD PRICE]]*(1-Tabela134[[#This Row],[DISCOUNT per piece '[%']]])</f>
        <v>117.3</v>
      </c>
      <c r="L42" s="176">
        <f>Tabela134[[#This Row],[PCS]]*Tabela134[[#This Row],[PROMOTIONAL PRICE]]</f>
        <v>0</v>
      </c>
      <c r="M42" s="492" cm="1">
        <f t="array" ref="M42">ROUNDUP(Tabela134[[#This Row],[NEW PRICE]]*eurofxref_daily[],2)</f>
        <v>267.07</v>
      </c>
      <c r="N42" s="493">
        <f>Tabela134[[#This Row],[CAD PRICE]]*O42</f>
        <v>0</v>
      </c>
      <c r="O42" s="62">
        <f>SUM(Tabela134[[#This Row],[RAL 1023]:[RAL 9005]])</f>
        <v>0</v>
      </c>
      <c r="P42" s="62">
        <f>Tabela134[[#This Row],[PCS]]*Tabela134[[#This Row],[Weight (kg)]]</f>
        <v>0</v>
      </c>
      <c r="Q42" s="393"/>
      <c r="R42" s="482"/>
      <c r="S42" s="486"/>
      <c r="T42" s="466"/>
      <c r="U42" s="435"/>
      <c r="V42" s="467"/>
      <c r="W42" s="468"/>
      <c r="X42" s="436"/>
      <c r="Y42" s="470"/>
      <c r="Z42" s="469"/>
      <c r="AA42" s="449"/>
      <c r="AB42" s="402"/>
      <c r="AC42" s="402"/>
      <c r="AD42" s="403"/>
      <c r="AE42" s="30"/>
      <c r="AF42" s="30"/>
      <c r="AG42" s="30"/>
    </row>
    <row r="43" spans="2:33" ht="12" customHeight="1" thickBot="1" x14ac:dyDescent="0.3">
      <c r="B43" s="29" t="s">
        <v>318</v>
      </c>
      <c r="C43" s="92" t="s">
        <v>932</v>
      </c>
      <c r="D43" s="204" t="s">
        <v>1026</v>
      </c>
      <c r="E43" s="48" t="s">
        <v>416</v>
      </c>
      <c r="F43" s="47">
        <v>10</v>
      </c>
      <c r="G43" s="224">
        <v>170</v>
      </c>
      <c r="H43" s="224">
        <f>ROUNDUP(Tabela134[[#This Row],[ OLD PRICE]]*(1+PRICES!$C$3),0)</f>
        <v>204</v>
      </c>
      <c r="I43" s="175">
        <v>0.15</v>
      </c>
      <c r="J43" s="49">
        <f>Tabela134[[#This Row],[ OLD PRICE]]*Tabela134[[#This Row],[DISCOUNT per piece '[%']]]</f>
        <v>25.5</v>
      </c>
      <c r="K43" s="49">
        <f>Tabela134[[#This Row],[ OLD PRICE]]*(1-Tabela134[[#This Row],[DISCOUNT per piece '[%']]])</f>
        <v>144.5</v>
      </c>
      <c r="L43" s="178">
        <f>Tabela134[[#This Row],[PCS]]*Tabela134[[#This Row],[PROMOTIONAL PRICE]]</f>
        <v>0</v>
      </c>
      <c r="M43" s="492" cm="1">
        <f t="array" ref="M43">ROUNDUP(Tabela134[[#This Row],[NEW PRICE]]*eurofxref_daily[],2)</f>
        <v>328.2</v>
      </c>
      <c r="N43" s="493">
        <f>Tabela134[[#This Row],[CAD PRICE]]*O43</f>
        <v>0</v>
      </c>
      <c r="O43" s="62">
        <f>SUM(Tabela134[[#This Row],[RAL 1023]:[RAL 9005]])</f>
        <v>0</v>
      </c>
      <c r="P43" s="62">
        <f>Tabela134[[#This Row],[PCS]]*Tabela134[[#This Row],[Weight (kg)]]</f>
        <v>0</v>
      </c>
      <c r="Q43" s="393"/>
      <c r="R43" s="482"/>
      <c r="S43" s="486"/>
      <c r="T43" s="466"/>
      <c r="U43" s="435"/>
      <c r="V43" s="467"/>
      <c r="W43" s="468"/>
      <c r="X43" s="436"/>
      <c r="Y43" s="470"/>
      <c r="Z43" s="469"/>
      <c r="AA43" s="449"/>
      <c r="AB43" s="402"/>
      <c r="AC43" s="402"/>
      <c r="AD43" s="403"/>
      <c r="AE43" s="30"/>
      <c r="AF43" s="30"/>
      <c r="AG43" s="30"/>
    </row>
    <row r="44" spans="2:33" ht="12" customHeight="1" thickBot="1" x14ac:dyDescent="0.3">
      <c r="B44" s="45" t="s">
        <v>319</v>
      </c>
      <c r="C44" s="92" t="s">
        <v>933</v>
      </c>
      <c r="D44" s="204" t="s">
        <v>1027</v>
      </c>
      <c r="E44" s="78" t="s">
        <v>417</v>
      </c>
      <c r="F44" s="77">
        <v>12</v>
      </c>
      <c r="G44" s="224">
        <v>207</v>
      </c>
      <c r="H44" s="224">
        <f>ROUNDUP(Tabela134[[#This Row],[ OLD PRICE]]*(1+PRICES!$C$3),0)</f>
        <v>249</v>
      </c>
      <c r="I44" s="175">
        <v>0.15</v>
      </c>
      <c r="J44" s="79">
        <f>Tabela134[[#This Row],[ OLD PRICE]]*Tabela134[[#This Row],[DISCOUNT per piece '[%']]]</f>
        <v>31.049999999999997</v>
      </c>
      <c r="K44" s="79">
        <f>Tabela134[[#This Row],[ OLD PRICE]]*(1-Tabela134[[#This Row],[DISCOUNT per piece '[%']]])</f>
        <v>175.95</v>
      </c>
      <c r="L44" s="176">
        <f>Tabela134[[#This Row],[PCS]]*Tabela134[[#This Row],[PROMOTIONAL PRICE]]</f>
        <v>0</v>
      </c>
      <c r="M44" s="492" cm="1">
        <f t="array" ref="M44">ROUNDUP(Tabela134[[#This Row],[NEW PRICE]]*eurofxref_daily[],2)</f>
        <v>400.59999999999997</v>
      </c>
      <c r="N44" s="493">
        <f>Tabela134[[#This Row],[CAD PRICE]]*O44</f>
        <v>0</v>
      </c>
      <c r="O44" s="62">
        <f>SUM(Tabela134[[#This Row],[RAL 1023]:[RAL 9005]])</f>
        <v>0</v>
      </c>
      <c r="P44" s="62">
        <f>Tabela134[[#This Row],[PCS]]*Tabela134[[#This Row],[Weight (kg)]]</f>
        <v>0</v>
      </c>
      <c r="Q44" s="393"/>
      <c r="R44" s="482"/>
      <c r="S44" s="486"/>
      <c r="T44" s="466"/>
      <c r="U44" s="435"/>
      <c r="V44" s="467"/>
      <c r="W44" s="468"/>
      <c r="X44" s="436"/>
      <c r="Y44" s="470"/>
      <c r="Z44" s="469"/>
      <c r="AA44" s="449"/>
      <c r="AB44" s="402"/>
      <c r="AC44" s="402"/>
      <c r="AD44" s="403"/>
      <c r="AE44" s="30"/>
      <c r="AF44" s="30"/>
      <c r="AG44" s="30"/>
    </row>
    <row r="45" spans="2:33" ht="12" customHeight="1" thickBot="1" x14ac:dyDescent="0.3">
      <c r="B45" s="29" t="s">
        <v>320</v>
      </c>
      <c r="C45" s="92" t="s">
        <v>934</v>
      </c>
      <c r="D45" s="204" t="s">
        <v>1028</v>
      </c>
      <c r="E45" s="48" t="s">
        <v>418</v>
      </c>
      <c r="F45" s="47">
        <v>13</v>
      </c>
      <c r="G45" s="224">
        <v>239</v>
      </c>
      <c r="H45" s="224">
        <f>ROUNDUP(Tabela134[[#This Row],[ OLD PRICE]]*(1+PRICES!$C$3),0)</f>
        <v>287</v>
      </c>
      <c r="I45" s="175">
        <v>0.15</v>
      </c>
      <c r="J45" s="49">
        <f>Tabela134[[#This Row],[ OLD PRICE]]*Tabela134[[#This Row],[DISCOUNT per piece '[%']]]</f>
        <v>35.85</v>
      </c>
      <c r="K45" s="49">
        <f>Tabela134[[#This Row],[ OLD PRICE]]*(1-Tabela134[[#This Row],[DISCOUNT per piece '[%']]])</f>
        <v>203.15</v>
      </c>
      <c r="L45" s="178">
        <f>Tabela134[[#This Row],[PCS]]*Tabela134[[#This Row],[PROMOTIONAL PRICE]]</f>
        <v>0</v>
      </c>
      <c r="M45" s="492" cm="1">
        <f t="array" ref="M45">ROUNDUP(Tabela134[[#This Row],[NEW PRICE]]*eurofxref_daily[],2)</f>
        <v>461.73</v>
      </c>
      <c r="N45" s="493">
        <f>Tabela134[[#This Row],[CAD PRICE]]*O45</f>
        <v>0</v>
      </c>
      <c r="O45" s="62">
        <f>SUM(Tabela134[[#This Row],[RAL 1023]:[RAL 9005]])</f>
        <v>0</v>
      </c>
      <c r="P45" s="62">
        <f>Tabela134[[#This Row],[PCS]]*Tabela134[[#This Row],[Weight (kg)]]</f>
        <v>0</v>
      </c>
      <c r="Q45" s="393"/>
      <c r="R45" s="482"/>
      <c r="S45" s="486"/>
      <c r="T45" s="466"/>
      <c r="U45" s="435"/>
      <c r="V45" s="467"/>
      <c r="W45" s="468"/>
      <c r="X45" s="436"/>
      <c r="Y45" s="470"/>
      <c r="Z45" s="469"/>
      <c r="AA45" s="449"/>
      <c r="AB45" s="402"/>
      <c r="AC45" s="402"/>
      <c r="AD45" s="403"/>
      <c r="AE45" s="30"/>
      <c r="AF45" s="30"/>
      <c r="AG45" s="30"/>
    </row>
    <row r="46" spans="2:33" ht="12" customHeight="1" thickBot="1" x14ac:dyDescent="0.3">
      <c r="B46" s="45" t="s">
        <v>321</v>
      </c>
      <c r="C46" s="93" t="s">
        <v>935</v>
      </c>
      <c r="D46" s="204" t="s">
        <v>1029</v>
      </c>
      <c r="E46" s="78" t="s">
        <v>419</v>
      </c>
      <c r="F46" s="77">
        <v>14</v>
      </c>
      <c r="G46" s="224">
        <v>292</v>
      </c>
      <c r="H46" s="224">
        <f>ROUNDUP(Tabela134[[#This Row],[ OLD PRICE]]*(1+PRICES!$C$3),0)</f>
        <v>351</v>
      </c>
      <c r="I46" s="175">
        <v>0.15</v>
      </c>
      <c r="J46" s="79">
        <f>Tabela134[[#This Row],[ OLD PRICE]]*Tabela134[[#This Row],[DISCOUNT per piece '[%']]]</f>
        <v>43.8</v>
      </c>
      <c r="K46" s="79">
        <f>Tabela134[[#This Row],[ OLD PRICE]]*(1-Tabela134[[#This Row],[DISCOUNT per piece '[%']]])</f>
        <v>248.2</v>
      </c>
      <c r="L46" s="176">
        <f>Tabela134[[#This Row],[PCS]]*Tabela134[[#This Row],[PROMOTIONAL PRICE]]</f>
        <v>0</v>
      </c>
      <c r="M46" s="492" cm="1">
        <f t="array" ref="M46">ROUNDUP(Tabela134[[#This Row],[NEW PRICE]]*eurofxref_daily[],2)</f>
        <v>564.68999999999994</v>
      </c>
      <c r="N46" s="493">
        <f>Tabela134[[#This Row],[CAD PRICE]]*O46</f>
        <v>0</v>
      </c>
      <c r="O46" s="62">
        <f>SUM(Tabela134[[#This Row],[RAL 1023]:[RAL 9005]])</f>
        <v>0</v>
      </c>
      <c r="P46" s="62">
        <f>Tabela134[[#This Row],[PCS]]*Tabela134[[#This Row],[Weight (kg)]]</f>
        <v>0</v>
      </c>
      <c r="Q46" s="393"/>
      <c r="R46" s="482"/>
      <c r="S46" s="486"/>
      <c r="T46" s="466"/>
      <c r="U46" s="435"/>
      <c r="V46" s="467"/>
      <c r="W46" s="468"/>
      <c r="X46" s="436"/>
      <c r="Y46" s="470"/>
      <c r="Z46" s="469"/>
      <c r="AA46" s="449"/>
      <c r="AB46" s="402"/>
      <c r="AC46" s="402"/>
      <c r="AD46" s="403"/>
      <c r="AE46" s="30"/>
      <c r="AF46" s="30"/>
      <c r="AG46" s="30"/>
    </row>
    <row r="47" spans="2:33" ht="12" customHeight="1" thickBot="1" x14ac:dyDescent="0.25">
      <c r="B47" s="122" t="s">
        <v>936</v>
      </c>
      <c r="C47" s="125" t="s">
        <v>1375</v>
      </c>
      <c r="D47" s="126"/>
      <c r="E47" s="124"/>
      <c r="F47" s="124"/>
      <c r="G47" s="358"/>
      <c r="H47" s="124"/>
      <c r="I47" s="124"/>
      <c r="J47" s="124"/>
      <c r="K47" s="124"/>
      <c r="L47" s="124"/>
      <c r="M47" s="124"/>
      <c r="N47" s="124"/>
      <c r="O47" s="124"/>
      <c r="P47" s="124"/>
      <c r="Q47" s="401"/>
      <c r="R47" s="80"/>
      <c r="S47" s="80"/>
      <c r="T47" s="80"/>
      <c r="U47" s="80"/>
      <c r="V47" s="80"/>
      <c r="W47" s="80"/>
      <c r="X47" s="80"/>
      <c r="Y47" s="80"/>
      <c r="Z47" s="457"/>
      <c r="AA47" s="457"/>
      <c r="AB47" s="202"/>
      <c r="AC47" s="202"/>
      <c r="AD47" s="201"/>
      <c r="AE47" s="30"/>
      <c r="AF47" s="30"/>
      <c r="AG47" s="30"/>
    </row>
    <row r="48" spans="2:33" ht="12" customHeight="1" thickBot="1" x14ac:dyDescent="0.3">
      <c r="B48" s="29" t="s">
        <v>322</v>
      </c>
      <c r="C48" s="92" t="s">
        <v>1376</v>
      </c>
      <c r="D48" s="204" t="s">
        <v>1030</v>
      </c>
      <c r="E48" s="48" t="s">
        <v>420</v>
      </c>
      <c r="F48" s="47">
        <v>11</v>
      </c>
      <c r="G48" s="224">
        <v>350</v>
      </c>
      <c r="H48" s="224">
        <f>ROUNDUP(Tabela134[[#This Row],[ OLD PRICE]]*(1+PRICES!$C$3),0)</f>
        <v>420</v>
      </c>
      <c r="I48" s="158">
        <v>0.2</v>
      </c>
      <c r="J48" s="49">
        <f>Tabela134[[#This Row],[ OLD PRICE]]*Tabela134[[#This Row],[DISCOUNT per piece '[%']]]</f>
        <v>70</v>
      </c>
      <c r="K48" s="49">
        <f>Tabela134[[#This Row],[ OLD PRICE]]*(1-Tabela134[[#This Row],[DISCOUNT per piece '[%']]])</f>
        <v>280</v>
      </c>
      <c r="L48" s="178">
        <f>Tabela134[[#This Row],[PCS]]*Tabela134[[#This Row],[PROMOTIONAL PRICE]]</f>
        <v>0</v>
      </c>
      <c r="M48" s="492" cm="1">
        <f t="array" ref="M48">ROUNDUP(Tabela134[[#This Row],[NEW PRICE]]*eurofxref_daily[],2)</f>
        <v>675.7</v>
      </c>
      <c r="N48" s="493">
        <f>Tabela134[[#This Row],[CAD PRICE]]*O48</f>
        <v>0</v>
      </c>
      <c r="O48" s="62">
        <f>SUM(Tabela134[[#This Row],[RAL 1023]:[RAL 9005]])</f>
        <v>0</v>
      </c>
      <c r="P48" s="62">
        <f>Tabela134[[#This Row],[PCS]]*Tabela134[[#This Row],[Weight (kg)]]</f>
        <v>0</v>
      </c>
      <c r="Q48" s="393"/>
      <c r="R48" s="482"/>
      <c r="S48" s="486"/>
      <c r="T48" s="466"/>
      <c r="U48" s="435"/>
      <c r="V48" s="467"/>
      <c r="W48" s="468"/>
      <c r="X48" s="436"/>
      <c r="Y48" s="470"/>
      <c r="Z48" s="469"/>
      <c r="AA48" s="449"/>
      <c r="AB48" s="402"/>
      <c r="AC48" s="402"/>
      <c r="AD48" s="403"/>
      <c r="AE48" s="30"/>
      <c r="AF48" s="30"/>
      <c r="AG48" s="30"/>
    </row>
    <row r="49" spans="1:33" ht="12" customHeight="1" thickBot="1" x14ac:dyDescent="0.3">
      <c r="B49" s="45" t="s">
        <v>323</v>
      </c>
      <c r="C49" s="92" t="s">
        <v>1377</v>
      </c>
      <c r="D49" s="204" t="s">
        <v>1031</v>
      </c>
      <c r="E49" s="78" t="s">
        <v>420</v>
      </c>
      <c r="F49" s="77">
        <v>11</v>
      </c>
      <c r="G49" s="224">
        <v>350</v>
      </c>
      <c r="H49" s="224">
        <f>ROUNDUP(Tabela134[[#This Row],[ OLD PRICE]]*(1+PRICES!$C$3),0)</f>
        <v>420</v>
      </c>
      <c r="I49" s="175">
        <v>0.2</v>
      </c>
      <c r="J49" s="79">
        <f>Tabela134[[#This Row],[ OLD PRICE]]*Tabela134[[#This Row],[DISCOUNT per piece '[%']]]</f>
        <v>70</v>
      </c>
      <c r="K49" s="79">
        <f>Tabela134[[#This Row],[ OLD PRICE]]*(1-Tabela134[[#This Row],[DISCOUNT per piece '[%']]])</f>
        <v>280</v>
      </c>
      <c r="L49" s="176">
        <f>Tabela134[[#This Row],[PCS]]*Tabela134[[#This Row],[PROMOTIONAL PRICE]]</f>
        <v>0</v>
      </c>
      <c r="M49" s="492" cm="1">
        <f t="array" ref="M49">ROUNDUP(Tabela134[[#This Row],[NEW PRICE]]*eurofxref_daily[],2)</f>
        <v>675.7</v>
      </c>
      <c r="N49" s="493">
        <f>Tabela134[[#This Row],[CAD PRICE]]*O49</f>
        <v>0</v>
      </c>
      <c r="O49" s="62">
        <f>SUM(Tabela134[[#This Row],[RAL 1023]:[RAL 9005]])</f>
        <v>0</v>
      </c>
      <c r="P49" s="62">
        <f>Tabela134[[#This Row],[PCS]]*Tabela134[[#This Row],[Weight (kg)]]</f>
        <v>0</v>
      </c>
      <c r="Q49" s="393"/>
      <c r="R49" s="482"/>
      <c r="S49" s="486"/>
      <c r="T49" s="466"/>
      <c r="U49" s="435"/>
      <c r="V49" s="467"/>
      <c r="W49" s="468"/>
      <c r="X49" s="436"/>
      <c r="Y49" s="470"/>
      <c r="Z49" s="469"/>
      <c r="AA49" s="449"/>
      <c r="AB49" s="402"/>
      <c r="AC49" s="402"/>
      <c r="AD49" s="403"/>
      <c r="AE49" s="30"/>
      <c r="AF49" s="30"/>
      <c r="AG49" s="30"/>
    </row>
    <row r="50" spans="1:33" ht="12" customHeight="1" thickBot="1" x14ac:dyDescent="0.3">
      <c r="B50" s="29" t="s">
        <v>324</v>
      </c>
      <c r="C50" s="92" t="s">
        <v>1378</v>
      </c>
      <c r="D50" s="204" t="s">
        <v>1032</v>
      </c>
      <c r="E50" s="48" t="s">
        <v>421</v>
      </c>
      <c r="F50" s="47">
        <v>11.5</v>
      </c>
      <c r="G50" s="224">
        <v>361</v>
      </c>
      <c r="H50" s="224">
        <f>ROUNDUP(Tabela134[[#This Row],[ OLD PRICE]]*(1+PRICES!$C$3),0)</f>
        <v>434</v>
      </c>
      <c r="I50" s="158">
        <v>0.2</v>
      </c>
      <c r="J50" s="49">
        <f>Tabela134[[#This Row],[ OLD PRICE]]*Tabela134[[#This Row],[DISCOUNT per piece '[%']]]</f>
        <v>72.2</v>
      </c>
      <c r="K50" s="49">
        <f>Tabela134[[#This Row],[ OLD PRICE]]*(1-Tabela134[[#This Row],[DISCOUNT per piece '[%']]])</f>
        <v>288.8</v>
      </c>
      <c r="L50" s="178">
        <f>Tabela134[[#This Row],[PCS]]*Tabela134[[#This Row],[PROMOTIONAL PRICE]]</f>
        <v>0</v>
      </c>
      <c r="M50" s="492" cm="1">
        <f t="array" ref="M50">ROUNDUP(Tabela134[[#This Row],[NEW PRICE]]*eurofxref_daily[],2)</f>
        <v>698.22</v>
      </c>
      <c r="N50" s="493">
        <f>Tabela134[[#This Row],[CAD PRICE]]*O50</f>
        <v>0</v>
      </c>
      <c r="O50" s="62">
        <f>SUM(Tabela134[[#This Row],[RAL 1023]:[RAL 9005]])</f>
        <v>0</v>
      </c>
      <c r="P50" s="62">
        <f>Tabela134[[#This Row],[PCS]]*Tabela134[[#This Row],[Weight (kg)]]</f>
        <v>0</v>
      </c>
      <c r="Q50" s="393"/>
      <c r="R50" s="482"/>
      <c r="S50" s="486"/>
      <c r="T50" s="466"/>
      <c r="U50" s="435"/>
      <c r="V50" s="467"/>
      <c r="W50" s="468"/>
      <c r="X50" s="436"/>
      <c r="Y50" s="470"/>
      <c r="Z50" s="469"/>
      <c r="AA50" s="449"/>
      <c r="AB50" s="402"/>
      <c r="AC50" s="402"/>
      <c r="AD50" s="403"/>
      <c r="AE50" s="30"/>
      <c r="AF50" s="30"/>
      <c r="AG50" s="30"/>
    </row>
    <row r="51" spans="1:33" ht="12" customHeight="1" thickBot="1" x14ac:dyDescent="0.3">
      <c r="B51" s="45" t="s">
        <v>325</v>
      </c>
      <c r="C51" s="92" t="s">
        <v>1379</v>
      </c>
      <c r="D51" s="204" t="s">
        <v>1049</v>
      </c>
      <c r="E51" s="78" t="s">
        <v>421</v>
      </c>
      <c r="F51" s="77">
        <v>11.5</v>
      </c>
      <c r="G51" s="224">
        <v>361</v>
      </c>
      <c r="H51" s="224">
        <f>ROUNDUP(Tabela134[[#This Row],[ OLD PRICE]]*(1+PRICES!$C$3),0)</f>
        <v>434</v>
      </c>
      <c r="I51" s="175">
        <v>0.2</v>
      </c>
      <c r="J51" s="79">
        <f>Tabela134[[#This Row],[ OLD PRICE]]*Tabela134[[#This Row],[DISCOUNT per piece '[%']]]</f>
        <v>72.2</v>
      </c>
      <c r="K51" s="79">
        <f>Tabela134[[#This Row],[ OLD PRICE]]*(1-Tabela134[[#This Row],[DISCOUNT per piece '[%']]])</f>
        <v>288.8</v>
      </c>
      <c r="L51" s="176">
        <f>Tabela134[[#This Row],[PCS]]*Tabela134[[#This Row],[PROMOTIONAL PRICE]]</f>
        <v>0</v>
      </c>
      <c r="M51" s="492" cm="1">
        <f t="array" ref="M51">ROUNDUP(Tabela134[[#This Row],[NEW PRICE]]*eurofxref_daily[],2)</f>
        <v>698.22</v>
      </c>
      <c r="N51" s="493">
        <f>Tabela134[[#This Row],[CAD PRICE]]*O51</f>
        <v>0</v>
      </c>
      <c r="O51" s="62">
        <f>SUM(Tabela134[[#This Row],[RAL 1023]:[RAL 9005]])</f>
        <v>0</v>
      </c>
      <c r="P51" s="62">
        <f>Tabela134[[#This Row],[PCS]]*Tabela134[[#This Row],[Weight (kg)]]</f>
        <v>0</v>
      </c>
      <c r="Q51" s="393"/>
      <c r="R51" s="482"/>
      <c r="S51" s="486"/>
      <c r="T51" s="466"/>
      <c r="U51" s="435"/>
      <c r="V51" s="467"/>
      <c r="W51" s="468"/>
      <c r="X51" s="436"/>
      <c r="Y51" s="470"/>
      <c r="Z51" s="469"/>
      <c r="AA51" s="449"/>
      <c r="AB51" s="402"/>
      <c r="AC51" s="402"/>
      <c r="AD51" s="403"/>
      <c r="AE51" s="30"/>
      <c r="AF51" s="30"/>
      <c r="AG51" s="30"/>
    </row>
    <row r="52" spans="1:33" ht="12" customHeight="1" thickBot="1" x14ac:dyDescent="0.3">
      <c r="B52" s="29" t="s">
        <v>326</v>
      </c>
      <c r="C52" s="92" t="s">
        <v>1380</v>
      </c>
      <c r="D52" s="204" t="s">
        <v>1033</v>
      </c>
      <c r="E52" s="48" t="s">
        <v>422</v>
      </c>
      <c r="F52" s="47">
        <v>10.5</v>
      </c>
      <c r="G52" s="224">
        <v>403</v>
      </c>
      <c r="H52" s="224">
        <f>ROUNDUP(Tabela134[[#This Row],[ OLD PRICE]]*(1+PRICES!$C$3),0)</f>
        <v>484</v>
      </c>
      <c r="I52" s="158">
        <v>0.2</v>
      </c>
      <c r="J52" s="49">
        <f>Tabela134[[#This Row],[ OLD PRICE]]*Tabela134[[#This Row],[DISCOUNT per piece '[%']]]</f>
        <v>80.600000000000009</v>
      </c>
      <c r="K52" s="49">
        <f>Tabela134[[#This Row],[ OLD PRICE]]*(1-Tabela134[[#This Row],[DISCOUNT per piece '[%']]])</f>
        <v>322.40000000000003</v>
      </c>
      <c r="L52" s="178">
        <f>Tabela134[[#This Row],[PCS]]*Tabela134[[#This Row],[PROMOTIONAL PRICE]]</f>
        <v>0</v>
      </c>
      <c r="M52" s="492" cm="1">
        <f t="array" ref="M52">ROUNDUP(Tabela134[[#This Row],[NEW PRICE]]*eurofxref_daily[],2)</f>
        <v>778.66</v>
      </c>
      <c r="N52" s="493">
        <f>Tabela134[[#This Row],[CAD PRICE]]*O52</f>
        <v>0</v>
      </c>
      <c r="O52" s="62">
        <f>SUM(Tabela134[[#This Row],[RAL 1023]:[RAL 9005]])</f>
        <v>0</v>
      </c>
      <c r="P52" s="62">
        <f>Tabela134[[#This Row],[PCS]]*Tabela134[[#This Row],[Weight (kg)]]</f>
        <v>0</v>
      </c>
      <c r="Q52" s="393"/>
      <c r="R52" s="482"/>
      <c r="S52" s="486"/>
      <c r="T52" s="466"/>
      <c r="U52" s="435"/>
      <c r="V52" s="467"/>
      <c r="W52" s="468"/>
      <c r="X52" s="436"/>
      <c r="Y52" s="470"/>
      <c r="Z52" s="469"/>
      <c r="AA52" s="449"/>
      <c r="AB52" s="402"/>
      <c r="AC52" s="402"/>
      <c r="AD52" s="403"/>
      <c r="AE52" s="30"/>
      <c r="AF52" s="30"/>
      <c r="AG52" s="30"/>
    </row>
    <row r="53" spans="1:33" ht="12" customHeight="1" thickBot="1" x14ac:dyDescent="0.3">
      <c r="B53" s="45" t="s">
        <v>327</v>
      </c>
      <c r="C53" s="92" t="s">
        <v>1381</v>
      </c>
      <c r="D53" s="204" t="s">
        <v>1034</v>
      </c>
      <c r="E53" s="78" t="s">
        <v>422</v>
      </c>
      <c r="F53" s="77">
        <v>10.5</v>
      </c>
      <c r="G53" s="224">
        <v>403</v>
      </c>
      <c r="H53" s="224">
        <f>ROUNDUP(Tabela134[[#This Row],[ OLD PRICE]]*(1+PRICES!$C$3),0)</f>
        <v>484</v>
      </c>
      <c r="I53" s="175">
        <v>0.2</v>
      </c>
      <c r="J53" s="79">
        <f>Tabela134[[#This Row],[ OLD PRICE]]*Tabela134[[#This Row],[DISCOUNT per piece '[%']]]</f>
        <v>80.600000000000009</v>
      </c>
      <c r="K53" s="79">
        <f>Tabela134[[#This Row],[ OLD PRICE]]*(1-Tabela134[[#This Row],[DISCOUNT per piece '[%']]])</f>
        <v>322.40000000000003</v>
      </c>
      <c r="L53" s="176">
        <f>Tabela134[[#This Row],[PCS]]*Tabela134[[#This Row],[PROMOTIONAL PRICE]]</f>
        <v>0</v>
      </c>
      <c r="M53" s="492" cm="1">
        <f t="array" ref="M53">ROUNDUP(Tabela134[[#This Row],[NEW PRICE]]*eurofxref_daily[],2)</f>
        <v>778.66</v>
      </c>
      <c r="N53" s="493">
        <f>Tabela134[[#This Row],[CAD PRICE]]*O53</f>
        <v>0</v>
      </c>
      <c r="O53" s="62">
        <f>SUM(Tabela134[[#This Row],[RAL 1023]:[RAL 9005]])</f>
        <v>0</v>
      </c>
      <c r="P53" s="62">
        <f>Tabela134[[#This Row],[PCS]]*Tabela134[[#This Row],[Weight (kg)]]</f>
        <v>0</v>
      </c>
      <c r="Q53" s="393"/>
      <c r="R53" s="482"/>
      <c r="S53" s="486"/>
      <c r="T53" s="466"/>
      <c r="U53" s="435"/>
      <c r="V53" s="467"/>
      <c r="W53" s="468"/>
      <c r="X53" s="436"/>
      <c r="Y53" s="470"/>
      <c r="Z53" s="469"/>
      <c r="AA53" s="449"/>
      <c r="AB53" s="402"/>
      <c r="AC53" s="402"/>
      <c r="AD53" s="403"/>
      <c r="AE53" s="30"/>
      <c r="AF53" s="30"/>
      <c r="AG53" s="30"/>
    </row>
    <row r="54" spans="1:33" ht="12" customHeight="1" thickBot="1" x14ac:dyDescent="0.3">
      <c r="B54" s="29" t="s">
        <v>328</v>
      </c>
      <c r="C54" s="92" t="s">
        <v>1382</v>
      </c>
      <c r="D54" s="204" t="s">
        <v>1035</v>
      </c>
      <c r="E54" s="48" t="s">
        <v>423</v>
      </c>
      <c r="F54" s="47">
        <v>10.5</v>
      </c>
      <c r="G54" s="224">
        <v>345</v>
      </c>
      <c r="H54" s="224">
        <f>ROUNDUP(Tabela134[[#This Row],[ OLD PRICE]]*(1+PRICES!$C$3),0)</f>
        <v>414</v>
      </c>
      <c r="I54" s="158">
        <v>0.2</v>
      </c>
      <c r="J54" s="49">
        <f>Tabela134[[#This Row],[ OLD PRICE]]*Tabela134[[#This Row],[DISCOUNT per piece '[%']]]</f>
        <v>69</v>
      </c>
      <c r="K54" s="49">
        <f>Tabela134[[#This Row],[ OLD PRICE]]*(1-Tabela134[[#This Row],[DISCOUNT per piece '[%']]])</f>
        <v>276</v>
      </c>
      <c r="L54" s="178">
        <f>Tabela134[[#This Row],[PCS]]*Tabela134[[#This Row],[PROMOTIONAL PRICE]]</f>
        <v>0</v>
      </c>
      <c r="M54" s="492" cm="1">
        <f t="array" ref="M54">ROUNDUP(Tabela134[[#This Row],[NEW PRICE]]*eurofxref_daily[],2)</f>
        <v>666.05</v>
      </c>
      <c r="N54" s="493">
        <f>Tabela134[[#This Row],[CAD PRICE]]*O54</f>
        <v>0</v>
      </c>
      <c r="O54" s="62">
        <f>SUM(Tabela134[[#This Row],[RAL 1023]:[RAL 9005]])</f>
        <v>0</v>
      </c>
      <c r="P54" s="62">
        <f>Tabela134[[#This Row],[PCS]]*Tabela134[[#This Row],[Weight (kg)]]</f>
        <v>0</v>
      </c>
      <c r="Q54" s="393"/>
      <c r="R54" s="482"/>
      <c r="S54" s="486"/>
      <c r="T54" s="466"/>
      <c r="U54" s="435"/>
      <c r="V54" s="467"/>
      <c r="W54" s="468"/>
      <c r="X54" s="436"/>
      <c r="Y54" s="470"/>
      <c r="Z54" s="469"/>
      <c r="AA54" s="449"/>
      <c r="AB54" s="402"/>
      <c r="AC54" s="402"/>
      <c r="AD54" s="403"/>
      <c r="AE54" s="30"/>
      <c r="AF54" s="30"/>
      <c r="AG54" s="30"/>
    </row>
    <row r="55" spans="1:33" ht="12" customHeight="1" thickBot="1" x14ac:dyDescent="0.3">
      <c r="B55" s="45" t="s">
        <v>329</v>
      </c>
      <c r="C55" s="92" t="s">
        <v>1383</v>
      </c>
      <c r="D55" s="204" t="s">
        <v>1036</v>
      </c>
      <c r="E55" s="78" t="s">
        <v>423</v>
      </c>
      <c r="F55" s="77">
        <v>10.5</v>
      </c>
      <c r="G55" s="224">
        <v>345</v>
      </c>
      <c r="H55" s="224">
        <f>ROUNDUP(Tabela134[[#This Row],[ OLD PRICE]]*(1+PRICES!$C$3),0)</f>
        <v>414</v>
      </c>
      <c r="I55" s="175">
        <v>0.2</v>
      </c>
      <c r="J55" s="79">
        <f>Tabela134[[#This Row],[ OLD PRICE]]*Tabela134[[#This Row],[DISCOUNT per piece '[%']]]</f>
        <v>69</v>
      </c>
      <c r="K55" s="79">
        <f>Tabela134[[#This Row],[ OLD PRICE]]*(1-Tabela134[[#This Row],[DISCOUNT per piece '[%']]])</f>
        <v>276</v>
      </c>
      <c r="L55" s="176">
        <f>Tabela134[[#This Row],[PCS]]*Tabela134[[#This Row],[PROMOTIONAL PRICE]]</f>
        <v>0</v>
      </c>
      <c r="M55" s="492" cm="1">
        <f t="array" ref="M55">ROUNDUP(Tabela134[[#This Row],[NEW PRICE]]*eurofxref_daily[],2)</f>
        <v>666.05</v>
      </c>
      <c r="N55" s="493">
        <f>Tabela134[[#This Row],[CAD PRICE]]*O55</f>
        <v>0</v>
      </c>
      <c r="O55" s="62">
        <f>SUM(Tabela134[[#This Row],[RAL 1023]:[RAL 9005]])</f>
        <v>0</v>
      </c>
      <c r="P55" s="62">
        <f>Tabela134[[#This Row],[PCS]]*Tabela134[[#This Row],[Weight (kg)]]</f>
        <v>0</v>
      </c>
      <c r="Q55" s="393"/>
      <c r="R55" s="482"/>
      <c r="S55" s="486"/>
      <c r="T55" s="466"/>
      <c r="U55" s="435"/>
      <c r="V55" s="467"/>
      <c r="W55" s="468"/>
      <c r="X55" s="436"/>
      <c r="Y55" s="470"/>
      <c r="Z55" s="469"/>
      <c r="AA55" s="449"/>
      <c r="AB55" s="402"/>
      <c r="AC55" s="402"/>
      <c r="AD55" s="403"/>
      <c r="AE55" s="30"/>
      <c r="AF55" s="30"/>
      <c r="AG55" s="30"/>
    </row>
    <row r="56" spans="1:33" ht="12" customHeight="1" thickBot="1" x14ac:dyDescent="0.3">
      <c r="B56" s="29" t="s">
        <v>330</v>
      </c>
      <c r="C56" s="92" t="s">
        <v>1384</v>
      </c>
      <c r="D56" s="204" t="s">
        <v>1037</v>
      </c>
      <c r="E56" s="48" t="s">
        <v>424</v>
      </c>
      <c r="F56" s="47">
        <v>12</v>
      </c>
      <c r="G56" s="224">
        <v>393</v>
      </c>
      <c r="H56" s="224">
        <f>ROUNDUP(Tabela134[[#This Row],[ OLD PRICE]]*(1+PRICES!$C$3),0)</f>
        <v>472</v>
      </c>
      <c r="I56" s="158">
        <v>0.2</v>
      </c>
      <c r="J56" s="49">
        <f>Tabela134[[#This Row],[ OLD PRICE]]*Tabela134[[#This Row],[DISCOUNT per piece '[%']]]</f>
        <v>78.600000000000009</v>
      </c>
      <c r="K56" s="49">
        <f>Tabela134[[#This Row],[ OLD PRICE]]*(1-Tabela134[[#This Row],[DISCOUNT per piece '[%']]])</f>
        <v>314.40000000000003</v>
      </c>
      <c r="L56" s="178">
        <f>Tabela134[[#This Row],[PCS]]*Tabela134[[#This Row],[PROMOTIONAL PRICE]]</f>
        <v>0</v>
      </c>
      <c r="M56" s="492" cm="1">
        <f t="array" ref="M56">ROUNDUP(Tabela134[[#This Row],[NEW PRICE]]*eurofxref_daily[],2)</f>
        <v>759.36</v>
      </c>
      <c r="N56" s="493">
        <f>Tabela134[[#This Row],[CAD PRICE]]*O56</f>
        <v>0</v>
      </c>
      <c r="O56" s="62">
        <f>SUM(Tabela134[[#This Row],[RAL 1023]:[RAL 9005]])</f>
        <v>0</v>
      </c>
      <c r="P56" s="62">
        <f>Tabela134[[#This Row],[PCS]]*Tabela134[[#This Row],[Weight (kg)]]</f>
        <v>0</v>
      </c>
      <c r="Q56" s="393"/>
      <c r="R56" s="482"/>
      <c r="S56" s="486"/>
      <c r="T56" s="466"/>
      <c r="U56" s="435"/>
      <c r="V56" s="467"/>
      <c r="W56" s="468"/>
      <c r="X56" s="436"/>
      <c r="Y56" s="470"/>
      <c r="Z56" s="469"/>
      <c r="AA56" s="449"/>
      <c r="AB56" s="402"/>
      <c r="AC56" s="402"/>
      <c r="AD56" s="403"/>
      <c r="AE56" s="30"/>
      <c r="AF56" s="30"/>
      <c r="AG56" s="30"/>
    </row>
    <row r="57" spans="1:33" ht="12" customHeight="1" thickBot="1" x14ac:dyDescent="0.3">
      <c r="B57" s="45" t="s">
        <v>331</v>
      </c>
      <c r="C57" s="92" t="s">
        <v>1385</v>
      </c>
      <c r="D57" s="204" t="s">
        <v>1038</v>
      </c>
      <c r="E57" s="78" t="s">
        <v>424</v>
      </c>
      <c r="F57" s="77">
        <v>12</v>
      </c>
      <c r="G57" s="224">
        <v>393</v>
      </c>
      <c r="H57" s="224">
        <f>ROUNDUP(Tabela134[[#This Row],[ OLD PRICE]]*(1+PRICES!$C$3),0)</f>
        <v>472</v>
      </c>
      <c r="I57" s="175">
        <v>0.2</v>
      </c>
      <c r="J57" s="79">
        <f>Tabela134[[#This Row],[ OLD PRICE]]*Tabela134[[#This Row],[DISCOUNT per piece '[%']]]</f>
        <v>78.600000000000009</v>
      </c>
      <c r="K57" s="79">
        <f>Tabela134[[#This Row],[ OLD PRICE]]*(1-Tabela134[[#This Row],[DISCOUNT per piece '[%']]])</f>
        <v>314.40000000000003</v>
      </c>
      <c r="L57" s="176">
        <f>Tabela134[[#This Row],[PCS]]*Tabela134[[#This Row],[PROMOTIONAL PRICE]]</f>
        <v>0</v>
      </c>
      <c r="M57" s="492" cm="1">
        <f t="array" ref="M57">ROUNDUP(Tabela134[[#This Row],[NEW PRICE]]*eurofxref_daily[],2)</f>
        <v>759.36</v>
      </c>
      <c r="N57" s="493">
        <f>Tabela134[[#This Row],[CAD PRICE]]*O57</f>
        <v>0</v>
      </c>
      <c r="O57" s="62">
        <f>SUM(Tabela134[[#This Row],[RAL 1023]:[RAL 9005]])</f>
        <v>0</v>
      </c>
      <c r="P57" s="62">
        <f>Tabela134[[#This Row],[PCS]]*Tabela134[[#This Row],[Weight (kg)]]</f>
        <v>0</v>
      </c>
      <c r="Q57" s="393"/>
      <c r="R57" s="482"/>
      <c r="S57" s="486"/>
      <c r="T57" s="466"/>
      <c r="U57" s="435"/>
      <c r="V57" s="467"/>
      <c r="W57" s="468"/>
      <c r="X57" s="436"/>
      <c r="Y57" s="470"/>
      <c r="Z57" s="469"/>
      <c r="AA57" s="449"/>
      <c r="AB57" s="402"/>
      <c r="AC57" s="402"/>
      <c r="AD57" s="403"/>
      <c r="AE57" s="30"/>
      <c r="AF57" s="30"/>
      <c r="AG57" s="30"/>
    </row>
    <row r="58" spans="1:33" ht="12" customHeight="1" thickBot="1" x14ac:dyDescent="0.3">
      <c r="B58" s="29" t="s">
        <v>332</v>
      </c>
      <c r="C58" s="92" t="s">
        <v>1386</v>
      </c>
      <c r="D58" s="204" t="s">
        <v>1039</v>
      </c>
      <c r="E58" s="48" t="s">
        <v>425</v>
      </c>
      <c r="F58" s="47">
        <v>10</v>
      </c>
      <c r="G58" s="224">
        <v>361</v>
      </c>
      <c r="H58" s="224">
        <f>ROUNDUP(Tabela134[[#This Row],[ OLD PRICE]]*(1+PRICES!$C$3),0)</f>
        <v>434</v>
      </c>
      <c r="I58" s="158">
        <v>0.2</v>
      </c>
      <c r="J58" s="49">
        <f>Tabela134[[#This Row],[ OLD PRICE]]*Tabela134[[#This Row],[DISCOUNT per piece '[%']]]</f>
        <v>72.2</v>
      </c>
      <c r="K58" s="49">
        <f>Tabela134[[#This Row],[ OLD PRICE]]*(1-Tabela134[[#This Row],[DISCOUNT per piece '[%']]])</f>
        <v>288.8</v>
      </c>
      <c r="L58" s="178">
        <f>Tabela134[[#This Row],[PCS]]*Tabela134[[#This Row],[PROMOTIONAL PRICE]]</f>
        <v>0</v>
      </c>
      <c r="M58" s="492" cm="1">
        <f t="array" ref="M58">ROUNDUP(Tabela134[[#This Row],[NEW PRICE]]*eurofxref_daily[],2)</f>
        <v>698.22</v>
      </c>
      <c r="N58" s="493">
        <f>Tabela134[[#This Row],[CAD PRICE]]*O58</f>
        <v>0</v>
      </c>
      <c r="O58" s="62">
        <f>SUM(Tabela134[[#This Row],[RAL 1023]:[RAL 9005]])</f>
        <v>0</v>
      </c>
      <c r="P58" s="62">
        <f>Tabela134[[#This Row],[PCS]]*Tabela134[[#This Row],[Weight (kg)]]</f>
        <v>0</v>
      </c>
      <c r="Q58" s="393"/>
      <c r="R58" s="482"/>
      <c r="S58" s="486"/>
      <c r="T58" s="466"/>
      <c r="U58" s="435"/>
      <c r="V58" s="467"/>
      <c r="W58" s="468"/>
      <c r="X58" s="436"/>
      <c r="Y58" s="470"/>
      <c r="Z58" s="469"/>
      <c r="AA58" s="449"/>
      <c r="AB58" s="402"/>
      <c r="AC58" s="402"/>
      <c r="AD58" s="403"/>
      <c r="AE58" s="30"/>
      <c r="AF58" s="30"/>
      <c r="AG58" s="30"/>
    </row>
    <row r="59" spans="1:33" ht="12" customHeight="1" thickBot="1" x14ac:dyDescent="0.3">
      <c r="B59" s="45" t="s">
        <v>333</v>
      </c>
      <c r="C59" s="92" t="s">
        <v>1387</v>
      </c>
      <c r="D59" s="204" t="s">
        <v>1040</v>
      </c>
      <c r="E59" s="78" t="s">
        <v>425</v>
      </c>
      <c r="F59" s="77">
        <v>10</v>
      </c>
      <c r="G59" s="224">
        <v>361</v>
      </c>
      <c r="H59" s="224">
        <f>ROUNDUP(Tabela134[[#This Row],[ OLD PRICE]]*(1+PRICES!$C$3),0)</f>
        <v>434</v>
      </c>
      <c r="I59" s="175">
        <v>0.2</v>
      </c>
      <c r="J59" s="79">
        <f>Tabela134[[#This Row],[ OLD PRICE]]*Tabela134[[#This Row],[DISCOUNT per piece '[%']]]</f>
        <v>72.2</v>
      </c>
      <c r="K59" s="79">
        <f>Tabela134[[#This Row],[ OLD PRICE]]*(1-Tabela134[[#This Row],[DISCOUNT per piece '[%']]])</f>
        <v>288.8</v>
      </c>
      <c r="L59" s="176">
        <f>Tabela134[[#This Row],[PCS]]*Tabela134[[#This Row],[PROMOTIONAL PRICE]]</f>
        <v>0</v>
      </c>
      <c r="M59" s="492" cm="1">
        <f t="array" ref="M59">ROUNDUP(Tabela134[[#This Row],[NEW PRICE]]*eurofxref_daily[],2)</f>
        <v>698.22</v>
      </c>
      <c r="N59" s="493">
        <f>Tabela134[[#This Row],[CAD PRICE]]*O59</f>
        <v>0</v>
      </c>
      <c r="O59" s="62">
        <f>SUM(Tabela134[[#This Row],[RAL 1023]:[RAL 9005]])</f>
        <v>0</v>
      </c>
      <c r="P59" s="62">
        <f>Tabela134[[#This Row],[PCS]]*Tabela134[[#This Row],[Weight (kg)]]</f>
        <v>0</v>
      </c>
      <c r="Q59" s="393"/>
      <c r="R59" s="482"/>
      <c r="S59" s="486"/>
      <c r="T59" s="466"/>
      <c r="U59" s="435"/>
      <c r="V59" s="467"/>
      <c r="W59" s="468"/>
      <c r="X59" s="436"/>
      <c r="Y59" s="470"/>
      <c r="Z59" s="469"/>
      <c r="AA59" s="449"/>
      <c r="AB59" s="402"/>
      <c r="AC59" s="402"/>
      <c r="AD59" s="403"/>
      <c r="AE59" s="30"/>
      <c r="AF59" s="30"/>
      <c r="AG59" s="30"/>
    </row>
    <row r="60" spans="1:33" ht="12" customHeight="1" thickBot="1" x14ac:dyDescent="0.3">
      <c r="A60" s="254"/>
      <c r="B60" s="29" t="s">
        <v>334</v>
      </c>
      <c r="C60" s="92" t="s">
        <v>1388</v>
      </c>
      <c r="D60" s="204" t="s">
        <v>1041</v>
      </c>
      <c r="E60" s="48" t="s">
        <v>426</v>
      </c>
      <c r="F60" s="47">
        <v>11</v>
      </c>
      <c r="G60" s="224">
        <v>371</v>
      </c>
      <c r="H60" s="224">
        <f>ROUNDUP(Tabela134[[#This Row],[ OLD PRICE]]*(1+PRICES!$C$3),0)</f>
        <v>446</v>
      </c>
      <c r="I60" s="158">
        <v>0.2</v>
      </c>
      <c r="J60" s="49">
        <f>Tabela134[[#This Row],[ OLD PRICE]]*Tabela134[[#This Row],[DISCOUNT per piece '[%']]]</f>
        <v>74.2</v>
      </c>
      <c r="K60" s="49">
        <f>Tabela134[[#This Row],[ OLD PRICE]]*(1-Tabela134[[#This Row],[DISCOUNT per piece '[%']]])</f>
        <v>296.8</v>
      </c>
      <c r="L60" s="178">
        <f>Tabela134[[#This Row],[PCS]]*Tabela134[[#This Row],[PROMOTIONAL PRICE]]</f>
        <v>0</v>
      </c>
      <c r="M60" s="492" cm="1">
        <f t="array" ref="M60">ROUNDUP(Tabela134[[#This Row],[NEW PRICE]]*eurofxref_daily[],2)</f>
        <v>717.53</v>
      </c>
      <c r="N60" s="493">
        <f>Tabela134[[#This Row],[CAD PRICE]]*O60</f>
        <v>0</v>
      </c>
      <c r="O60" s="62">
        <f>SUM(Tabela134[[#This Row],[RAL 1023]:[RAL 9005]])</f>
        <v>0</v>
      </c>
      <c r="P60" s="62">
        <f>Tabela134[[#This Row],[PCS]]*Tabela134[[#This Row],[Weight (kg)]]</f>
        <v>0</v>
      </c>
      <c r="Q60" s="393"/>
      <c r="R60" s="482"/>
      <c r="S60" s="486"/>
      <c r="T60" s="466"/>
      <c r="U60" s="435"/>
      <c r="V60" s="467"/>
      <c r="W60" s="468"/>
      <c r="X60" s="436"/>
      <c r="Y60" s="470"/>
      <c r="Z60" s="469"/>
      <c r="AA60" s="449"/>
      <c r="AB60" s="402"/>
      <c r="AC60" s="402"/>
      <c r="AD60" s="403"/>
      <c r="AE60" s="30"/>
      <c r="AF60" s="30"/>
      <c r="AG60" s="30"/>
    </row>
    <row r="61" spans="1:33" ht="12" customHeight="1" thickBot="1" x14ac:dyDescent="0.3">
      <c r="B61" s="45" t="s">
        <v>335</v>
      </c>
      <c r="C61" s="92" t="s">
        <v>1389</v>
      </c>
      <c r="D61" s="204" t="s">
        <v>1042</v>
      </c>
      <c r="E61" s="78" t="s">
        <v>426</v>
      </c>
      <c r="F61" s="77">
        <v>11</v>
      </c>
      <c r="G61" s="224">
        <v>371</v>
      </c>
      <c r="H61" s="224">
        <f>ROUNDUP(Tabela134[[#This Row],[ OLD PRICE]]*(1+PRICES!$C$3),0)</f>
        <v>446</v>
      </c>
      <c r="I61" s="175">
        <v>0.2</v>
      </c>
      <c r="J61" s="79">
        <f>Tabela134[[#This Row],[ OLD PRICE]]*Tabela134[[#This Row],[DISCOUNT per piece '[%']]]</f>
        <v>74.2</v>
      </c>
      <c r="K61" s="79">
        <f>Tabela134[[#This Row],[ OLD PRICE]]*(1-Tabela134[[#This Row],[DISCOUNT per piece '[%']]])</f>
        <v>296.8</v>
      </c>
      <c r="L61" s="176">
        <f>Tabela134[[#This Row],[PCS]]*Tabela134[[#This Row],[PROMOTIONAL PRICE]]</f>
        <v>0</v>
      </c>
      <c r="M61" s="492" cm="1">
        <f t="array" ref="M61">ROUNDUP(Tabela134[[#This Row],[NEW PRICE]]*eurofxref_daily[],2)</f>
        <v>717.53</v>
      </c>
      <c r="N61" s="493">
        <f>Tabela134[[#This Row],[CAD PRICE]]*O61</f>
        <v>0</v>
      </c>
      <c r="O61" s="62">
        <f>SUM(Tabela134[[#This Row],[RAL 1023]:[RAL 9005]])</f>
        <v>0</v>
      </c>
      <c r="P61" s="62">
        <f>Tabela134[[#This Row],[PCS]]*Tabela134[[#This Row],[Weight (kg)]]</f>
        <v>0</v>
      </c>
      <c r="Q61" s="393"/>
      <c r="R61" s="482"/>
      <c r="S61" s="486"/>
      <c r="T61" s="466"/>
      <c r="U61" s="435"/>
      <c r="V61" s="467"/>
      <c r="W61" s="468"/>
      <c r="X61" s="436"/>
      <c r="Y61" s="470"/>
      <c r="Z61" s="469"/>
      <c r="AA61" s="449"/>
      <c r="AB61" s="402"/>
      <c r="AC61" s="402"/>
      <c r="AD61" s="403"/>
      <c r="AE61" s="30"/>
      <c r="AF61" s="30"/>
      <c r="AG61" s="30"/>
    </row>
    <row r="62" spans="1:33" ht="12" customHeight="1" thickBot="1" x14ac:dyDescent="0.3">
      <c r="B62" s="29" t="s">
        <v>336</v>
      </c>
      <c r="C62" s="92" t="s">
        <v>1390</v>
      </c>
      <c r="D62" s="204" t="s">
        <v>1043</v>
      </c>
      <c r="E62" s="48" t="s">
        <v>427</v>
      </c>
      <c r="F62" s="47">
        <v>10.5</v>
      </c>
      <c r="G62" s="224">
        <v>340</v>
      </c>
      <c r="H62" s="224">
        <f>ROUNDUP(Tabela134[[#This Row],[ OLD PRICE]]*(1+PRICES!$C$3),0)</f>
        <v>408</v>
      </c>
      <c r="I62" s="158">
        <v>0.2</v>
      </c>
      <c r="J62" s="49">
        <f>Tabela134[[#This Row],[ OLD PRICE]]*Tabela134[[#This Row],[DISCOUNT per piece '[%']]]</f>
        <v>68</v>
      </c>
      <c r="K62" s="49">
        <f>Tabela134[[#This Row],[ OLD PRICE]]*(1-Tabela134[[#This Row],[DISCOUNT per piece '[%']]])</f>
        <v>272</v>
      </c>
      <c r="L62" s="178">
        <f>Tabela134[[#This Row],[PCS]]*Tabela134[[#This Row],[PROMOTIONAL PRICE]]</f>
        <v>0</v>
      </c>
      <c r="M62" s="492" cm="1">
        <f t="array" ref="M62">ROUNDUP(Tabela134[[#This Row],[NEW PRICE]]*eurofxref_daily[],2)</f>
        <v>656.4</v>
      </c>
      <c r="N62" s="493">
        <f>Tabela134[[#This Row],[CAD PRICE]]*O62</f>
        <v>0</v>
      </c>
      <c r="O62" s="62">
        <f>SUM(Tabela134[[#This Row],[RAL 1023]:[RAL 9005]])</f>
        <v>0</v>
      </c>
      <c r="P62" s="62">
        <f>Tabela134[[#This Row],[PCS]]*Tabela134[[#This Row],[Weight (kg)]]</f>
        <v>0</v>
      </c>
      <c r="Q62" s="393"/>
      <c r="R62" s="482"/>
      <c r="S62" s="486"/>
      <c r="T62" s="466"/>
      <c r="U62" s="435"/>
      <c r="V62" s="467"/>
      <c r="W62" s="468"/>
      <c r="X62" s="436"/>
      <c r="Y62" s="470"/>
      <c r="Z62" s="469"/>
      <c r="AA62" s="449"/>
      <c r="AB62" s="402"/>
      <c r="AC62" s="402"/>
      <c r="AD62" s="403"/>
      <c r="AE62" s="30"/>
      <c r="AF62" s="30"/>
      <c r="AG62" s="30"/>
    </row>
    <row r="63" spans="1:33" ht="12" customHeight="1" thickBot="1" x14ac:dyDescent="0.3">
      <c r="B63" s="45" t="s">
        <v>337</v>
      </c>
      <c r="C63" s="92" t="s">
        <v>1391</v>
      </c>
      <c r="D63" s="204" t="s">
        <v>1044</v>
      </c>
      <c r="E63" s="78" t="s">
        <v>427</v>
      </c>
      <c r="F63" s="77">
        <v>10.5</v>
      </c>
      <c r="G63" s="224">
        <v>340</v>
      </c>
      <c r="H63" s="224">
        <f>ROUNDUP(Tabela134[[#This Row],[ OLD PRICE]]*(1+PRICES!$C$3),0)</f>
        <v>408</v>
      </c>
      <c r="I63" s="175">
        <v>0.2</v>
      </c>
      <c r="J63" s="79">
        <f>Tabela134[[#This Row],[ OLD PRICE]]*Tabela134[[#This Row],[DISCOUNT per piece '[%']]]</f>
        <v>68</v>
      </c>
      <c r="K63" s="79">
        <f>Tabela134[[#This Row],[ OLD PRICE]]*(1-Tabela134[[#This Row],[DISCOUNT per piece '[%']]])</f>
        <v>272</v>
      </c>
      <c r="L63" s="176">
        <f>Tabela134[[#This Row],[PCS]]*Tabela134[[#This Row],[PROMOTIONAL PRICE]]</f>
        <v>0</v>
      </c>
      <c r="M63" s="492" cm="1">
        <f t="array" ref="M63">ROUNDUP(Tabela134[[#This Row],[NEW PRICE]]*eurofxref_daily[],2)</f>
        <v>656.4</v>
      </c>
      <c r="N63" s="493">
        <f>Tabela134[[#This Row],[CAD PRICE]]*O63</f>
        <v>0</v>
      </c>
      <c r="O63" s="62">
        <f>SUM(Tabela134[[#This Row],[RAL 1023]:[RAL 9005]])</f>
        <v>0</v>
      </c>
      <c r="P63" s="62">
        <f>Tabela134[[#This Row],[PCS]]*Tabela134[[#This Row],[Weight (kg)]]</f>
        <v>0</v>
      </c>
      <c r="Q63" s="393"/>
      <c r="R63" s="482"/>
      <c r="S63" s="486"/>
      <c r="T63" s="466"/>
      <c r="U63" s="435"/>
      <c r="V63" s="467"/>
      <c r="W63" s="468"/>
      <c r="X63" s="436"/>
      <c r="Y63" s="470"/>
      <c r="Z63" s="469"/>
      <c r="AA63" s="449"/>
      <c r="AB63" s="402"/>
      <c r="AC63" s="402"/>
      <c r="AD63" s="403"/>
      <c r="AE63" s="30"/>
      <c r="AF63" s="30"/>
      <c r="AG63" s="30"/>
    </row>
    <row r="64" spans="1:33" ht="12" customHeight="1" thickBot="1" x14ac:dyDescent="0.3">
      <c r="B64" s="29" t="s">
        <v>338</v>
      </c>
      <c r="C64" s="92" t="s">
        <v>1392</v>
      </c>
      <c r="D64" s="204" t="s">
        <v>1045</v>
      </c>
      <c r="E64" s="48" t="s">
        <v>428</v>
      </c>
      <c r="F64" s="47">
        <v>10</v>
      </c>
      <c r="G64" s="224">
        <v>340</v>
      </c>
      <c r="H64" s="224">
        <f>ROUNDUP(Tabela134[[#This Row],[ OLD PRICE]]*(1+PRICES!$C$3),0)</f>
        <v>408</v>
      </c>
      <c r="I64" s="158">
        <v>0.2</v>
      </c>
      <c r="J64" s="49">
        <f>Tabela134[[#This Row],[ OLD PRICE]]*Tabela134[[#This Row],[DISCOUNT per piece '[%']]]</f>
        <v>68</v>
      </c>
      <c r="K64" s="49">
        <f>Tabela134[[#This Row],[ OLD PRICE]]*(1-Tabela134[[#This Row],[DISCOUNT per piece '[%']]])</f>
        <v>272</v>
      </c>
      <c r="L64" s="178">
        <f>Tabela134[[#This Row],[PCS]]*Tabela134[[#This Row],[PROMOTIONAL PRICE]]</f>
        <v>0</v>
      </c>
      <c r="M64" s="492" cm="1">
        <f t="array" ref="M64">ROUNDUP(Tabela134[[#This Row],[NEW PRICE]]*eurofxref_daily[],2)</f>
        <v>656.4</v>
      </c>
      <c r="N64" s="493">
        <f>Tabela134[[#This Row],[CAD PRICE]]*O64</f>
        <v>0</v>
      </c>
      <c r="O64" s="62">
        <f>SUM(Tabela134[[#This Row],[RAL 1023]:[RAL 9005]])</f>
        <v>0</v>
      </c>
      <c r="P64" s="62">
        <f>Tabela134[[#This Row],[PCS]]*Tabela134[[#This Row],[Weight (kg)]]</f>
        <v>0</v>
      </c>
      <c r="Q64" s="393"/>
      <c r="R64" s="482"/>
      <c r="S64" s="486"/>
      <c r="T64" s="466"/>
      <c r="U64" s="435"/>
      <c r="V64" s="467"/>
      <c r="W64" s="468"/>
      <c r="X64" s="436"/>
      <c r="Y64" s="470"/>
      <c r="Z64" s="469"/>
      <c r="AA64" s="449"/>
      <c r="AB64" s="402"/>
      <c r="AC64" s="402"/>
      <c r="AD64" s="403"/>
      <c r="AE64" s="30"/>
      <c r="AF64" s="30"/>
      <c r="AG64" s="30"/>
    </row>
    <row r="65" spans="2:33" ht="12" customHeight="1" thickBot="1" x14ac:dyDescent="0.3">
      <c r="B65" s="45" t="s">
        <v>339</v>
      </c>
      <c r="C65" s="92" t="s">
        <v>1393</v>
      </c>
      <c r="D65" s="204" t="s">
        <v>1046</v>
      </c>
      <c r="E65" s="78" t="s">
        <v>428</v>
      </c>
      <c r="F65" s="77">
        <v>10</v>
      </c>
      <c r="G65" s="224">
        <v>340</v>
      </c>
      <c r="H65" s="224">
        <f>ROUNDUP(Tabela134[[#This Row],[ OLD PRICE]]*(1+PRICES!$C$3),0)</f>
        <v>408</v>
      </c>
      <c r="I65" s="175">
        <v>0.2</v>
      </c>
      <c r="J65" s="79">
        <f>Tabela134[[#This Row],[ OLD PRICE]]*Tabela134[[#This Row],[DISCOUNT per piece '[%']]]</f>
        <v>68</v>
      </c>
      <c r="K65" s="79">
        <f>Tabela134[[#This Row],[ OLD PRICE]]*(1-Tabela134[[#This Row],[DISCOUNT per piece '[%']]])</f>
        <v>272</v>
      </c>
      <c r="L65" s="176">
        <f>Tabela134[[#This Row],[PCS]]*Tabela134[[#This Row],[PROMOTIONAL PRICE]]</f>
        <v>0</v>
      </c>
      <c r="M65" s="492" cm="1">
        <f t="array" ref="M65">ROUNDUP(Tabela134[[#This Row],[NEW PRICE]]*eurofxref_daily[],2)</f>
        <v>656.4</v>
      </c>
      <c r="N65" s="493">
        <f>Tabela134[[#This Row],[CAD PRICE]]*O65</f>
        <v>0</v>
      </c>
      <c r="O65" s="62">
        <f>SUM(Tabela134[[#This Row],[RAL 1023]:[RAL 9005]])</f>
        <v>0</v>
      </c>
      <c r="P65" s="62">
        <f>Tabela134[[#This Row],[PCS]]*Tabela134[[#This Row],[Weight (kg)]]</f>
        <v>0</v>
      </c>
      <c r="Q65" s="393"/>
      <c r="R65" s="482"/>
      <c r="S65" s="486"/>
      <c r="T65" s="466"/>
      <c r="U65" s="435"/>
      <c r="V65" s="467"/>
      <c r="W65" s="468"/>
      <c r="X65" s="436"/>
      <c r="Y65" s="470"/>
      <c r="Z65" s="469"/>
      <c r="AA65" s="449"/>
      <c r="AB65" s="402"/>
      <c r="AC65" s="402"/>
      <c r="AD65" s="403"/>
      <c r="AE65" s="30"/>
      <c r="AF65" s="30"/>
      <c r="AG65" s="30"/>
    </row>
    <row r="66" spans="2:33" ht="12" customHeight="1" thickBot="1" x14ac:dyDescent="0.3">
      <c r="B66" s="29" t="s">
        <v>340</v>
      </c>
      <c r="C66" s="92" t="s">
        <v>1394</v>
      </c>
      <c r="D66" s="204" t="s">
        <v>1047</v>
      </c>
      <c r="E66" s="48" t="s">
        <v>429</v>
      </c>
      <c r="F66" s="47">
        <v>11</v>
      </c>
      <c r="G66" s="224">
        <v>371</v>
      </c>
      <c r="H66" s="224">
        <f>ROUNDUP(Tabela134[[#This Row],[ OLD PRICE]]*(1+PRICES!$C$3),0)</f>
        <v>446</v>
      </c>
      <c r="I66" s="158">
        <v>0.2</v>
      </c>
      <c r="J66" s="49">
        <f>Tabela134[[#This Row],[ OLD PRICE]]*Tabela134[[#This Row],[DISCOUNT per piece '[%']]]</f>
        <v>74.2</v>
      </c>
      <c r="K66" s="49">
        <f>Tabela134[[#This Row],[ OLD PRICE]]*(1-Tabela134[[#This Row],[DISCOUNT per piece '[%']]])</f>
        <v>296.8</v>
      </c>
      <c r="L66" s="178">
        <f>Tabela134[[#This Row],[PCS]]*Tabela134[[#This Row],[PROMOTIONAL PRICE]]</f>
        <v>0</v>
      </c>
      <c r="M66" s="492" cm="1">
        <f t="array" ref="M66">ROUNDUP(Tabela134[[#This Row],[NEW PRICE]]*eurofxref_daily[],2)</f>
        <v>717.53</v>
      </c>
      <c r="N66" s="493">
        <f>Tabela134[[#This Row],[CAD PRICE]]*O66</f>
        <v>0</v>
      </c>
      <c r="O66" s="62">
        <f>SUM(Tabela134[[#This Row],[RAL 1023]:[RAL 9005]])</f>
        <v>0</v>
      </c>
      <c r="P66" s="62">
        <f>Tabela134[[#This Row],[PCS]]*Tabela134[[#This Row],[Weight (kg)]]</f>
        <v>0</v>
      </c>
      <c r="Q66" s="393"/>
      <c r="R66" s="482"/>
      <c r="S66" s="486"/>
      <c r="T66" s="466"/>
      <c r="U66" s="435"/>
      <c r="V66" s="467"/>
      <c r="W66" s="468"/>
      <c r="X66" s="436"/>
      <c r="Y66" s="470"/>
      <c r="Z66" s="469"/>
      <c r="AA66" s="449"/>
      <c r="AB66" s="402"/>
      <c r="AC66" s="402"/>
      <c r="AD66" s="403"/>
      <c r="AE66" s="30"/>
      <c r="AF66" s="30"/>
      <c r="AG66" s="30"/>
    </row>
    <row r="67" spans="2:33" ht="12" customHeight="1" thickBot="1" x14ac:dyDescent="0.3">
      <c r="B67" s="45" t="s">
        <v>341</v>
      </c>
      <c r="C67" s="92" t="s">
        <v>1395</v>
      </c>
      <c r="D67" s="204" t="s">
        <v>1048</v>
      </c>
      <c r="E67" s="78" t="s">
        <v>429</v>
      </c>
      <c r="F67" s="77">
        <v>11</v>
      </c>
      <c r="G67" s="224">
        <v>371</v>
      </c>
      <c r="H67" s="224">
        <f>ROUNDUP(Tabela134[[#This Row],[ OLD PRICE]]*(1+PRICES!$C$3),0)</f>
        <v>446</v>
      </c>
      <c r="I67" s="175">
        <v>0.2</v>
      </c>
      <c r="J67" s="79">
        <f>Tabela134[[#This Row],[ OLD PRICE]]*Tabela134[[#This Row],[DISCOUNT per piece '[%']]]</f>
        <v>74.2</v>
      </c>
      <c r="K67" s="79">
        <f>Tabela134[[#This Row],[ OLD PRICE]]*(1-Tabela134[[#This Row],[DISCOUNT per piece '[%']]])</f>
        <v>296.8</v>
      </c>
      <c r="L67" s="176">
        <f>Tabela134[[#This Row],[PCS]]*Tabela134[[#This Row],[PROMOTIONAL PRICE]]</f>
        <v>0</v>
      </c>
      <c r="M67" s="492" cm="1">
        <f t="array" ref="M67">ROUNDUP(Tabela134[[#This Row],[NEW PRICE]]*eurofxref_daily[],2)</f>
        <v>717.53</v>
      </c>
      <c r="N67" s="493">
        <f>Tabela134[[#This Row],[CAD PRICE]]*O67</f>
        <v>0</v>
      </c>
      <c r="O67" s="62">
        <f>SUM(Tabela134[[#This Row],[RAL 1023]:[RAL 9005]])</f>
        <v>0</v>
      </c>
      <c r="P67" s="62">
        <f>Tabela134[[#This Row],[PCS]]*Tabela134[[#This Row],[Weight (kg)]]</f>
        <v>0</v>
      </c>
      <c r="Q67" s="393"/>
      <c r="R67" s="482"/>
      <c r="S67" s="486"/>
      <c r="T67" s="466"/>
      <c r="U67" s="435"/>
      <c r="V67" s="467"/>
      <c r="W67" s="468"/>
      <c r="X67" s="436"/>
      <c r="Y67" s="470"/>
      <c r="Z67" s="469"/>
      <c r="AA67" s="449"/>
      <c r="AB67" s="402"/>
      <c r="AC67" s="402"/>
      <c r="AD67" s="403"/>
      <c r="AE67" s="30"/>
      <c r="AF67" s="30"/>
      <c r="AG67" s="30"/>
    </row>
    <row r="68" spans="2:33" ht="12" customHeight="1" thickBot="1" x14ac:dyDescent="0.25">
      <c r="B68" s="122" t="s">
        <v>454</v>
      </c>
      <c r="C68" s="125" t="s">
        <v>993</v>
      </c>
      <c r="D68" s="126"/>
      <c r="E68" s="124"/>
      <c r="F68" s="124"/>
      <c r="G68" s="358"/>
      <c r="H68" s="124"/>
      <c r="I68" s="124"/>
      <c r="J68" s="124"/>
      <c r="K68" s="124"/>
      <c r="L68" s="124"/>
      <c r="M68" s="124"/>
      <c r="N68" s="124"/>
      <c r="O68" s="124"/>
      <c r="P68" s="124"/>
      <c r="Q68" s="401"/>
      <c r="R68" s="80"/>
      <c r="S68" s="80"/>
      <c r="T68" s="80"/>
      <c r="U68" s="80"/>
      <c r="V68" s="80"/>
      <c r="W68" s="80"/>
      <c r="X68" s="80"/>
      <c r="Y68" s="80"/>
      <c r="Z68" s="457"/>
      <c r="AA68" s="457"/>
      <c r="AB68" s="202"/>
      <c r="AC68" s="202"/>
      <c r="AD68" s="201"/>
      <c r="AE68" s="30"/>
      <c r="AF68" s="30"/>
      <c r="AG68" s="30"/>
    </row>
    <row r="69" spans="2:33" ht="12" customHeight="1" thickBot="1" x14ac:dyDescent="0.3">
      <c r="B69" s="29" t="s">
        <v>342</v>
      </c>
      <c r="C69" s="92" t="s">
        <v>343</v>
      </c>
      <c r="D69" s="204" t="s">
        <v>1050</v>
      </c>
      <c r="E69" s="48" t="s">
        <v>430</v>
      </c>
      <c r="F69" s="47">
        <v>6.5</v>
      </c>
      <c r="G69" s="224">
        <v>115</v>
      </c>
      <c r="H69" s="224">
        <f>ROUNDUP(Tabela134[[#This Row],[ OLD PRICE]]*(1+PRICES!$C$3),0)</f>
        <v>138</v>
      </c>
      <c r="I69" s="158">
        <v>0.2</v>
      </c>
      <c r="J69" s="49">
        <f>Tabela134[[#This Row],[ OLD PRICE]]*Tabela134[[#This Row],[DISCOUNT per piece '[%']]]</f>
        <v>23</v>
      </c>
      <c r="K69" s="49">
        <f>Tabela134[[#This Row],[ OLD PRICE]]*(1-Tabela134[[#This Row],[DISCOUNT per piece '[%']]])</f>
        <v>92</v>
      </c>
      <c r="L69" s="178">
        <f>Tabela134[[#This Row],[PCS]]*Tabela134[[#This Row],[PROMOTIONAL PRICE]]</f>
        <v>0</v>
      </c>
      <c r="M69" s="492" cm="1">
        <f t="array" ref="M69">ROUNDUP(Tabela134[[#This Row],[NEW PRICE]]*eurofxref_daily[],2)</f>
        <v>222.01999999999998</v>
      </c>
      <c r="N69" s="493">
        <f>Tabela134[[#This Row],[CAD PRICE]]*O69</f>
        <v>0</v>
      </c>
      <c r="O69" s="62">
        <f>SUM(Tabela134[[#This Row],[RAL 1023]:[RAL 9005]])</f>
        <v>0</v>
      </c>
      <c r="P69" s="62">
        <f>Tabela134[[#This Row],[PCS]]*Tabela134[[#This Row],[Weight (kg)]]</f>
        <v>0</v>
      </c>
      <c r="Q69" s="393"/>
      <c r="R69" s="482"/>
      <c r="S69" s="486"/>
      <c r="T69" s="466"/>
      <c r="U69" s="435"/>
      <c r="V69" s="467"/>
      <c r="W69" s="468"/>
      <c r="X69" s="436"/>
      <c r="Y69" s="470"/>
      <c r="Z69" s="469"/>
      <c r="AA69" s="449"/>
      <c r="AB69" s="402"/>
      <c r="AC69" s="402"/>
      <c r="AD69" s="403"/>
      <c r="AE69" s="30"/>
      <c r="AF69" s="30"/>
      <c r="AG69" s="30"/>
    </row>
    <row r="70" spans="2:33" ht="12" customHeight="1" thickBot="1" x14ac:dyDescent="0.3">
      <c r="B70" s="45" t="s">
        <v>344</v>
      </c>
      <c r="C70" s="92" t="s">
        <v>345</v>
      </c>
      <c r="D70" s="204" t="s">
        <v>1051</v>
      </c>
      <c r="E70" s="78" t="s">
        <v>430</v>
      </c>
      <c r="F70" s="77">
        <v>6.5</v>
      </c>
      <c r="G70" s="224">
        <v>115</v>
      </c>
      <c r="H70" s="224">
        <f>ROUNDUP(Tabela134[[#This Row],[ OLD PRICE]]*(1+PRICES!$C$3),0)</f>
        <v>138</v>
      </c>
      <c r="I70" s="175">
        <v>0.2</v>
      </c>
      <c r="J70" s="79">
        <f>Tabela134[[#This Row],[ OLD PRICE]]*Tabela134[[#This Row],[DISCOUNT per piece '[%']]]</f>
        <v>23</v>
      </c>
      <c r="K70" s="79">
        <f>Tabela134[[#This Row],[ OLD PRICE]]*(1-Tabela134[[#This Row],[DISCOUNT per piece '[%']]])</f>
        <v>92</v>
      </c>
      <c r="L70" s="176">
        <f>Tabela134[[#This Row],[PCS]]*Tabela134[[#This Row],[PROMOTIONAL PRICE]]</f>
        <v>0</v>
      </c>
      <c r="M70" s="492" cm="1">
        <f t="array" ref="M70">ROUNDUP(Tabela134[[#This Row],[NEW PRICE]]*eurofxref_daily[],2)</f>
        <v>222.01999999999998</v>
      </c>
      <c r="N70" s="493">
        <f>Tabela134[[#This Row],[CAD PRICE]]*O70</f>
        <v>0</v>
      </c>
      <c r="O70" s="62">
        <f>SUM(Tabela134[[#This Row],[RAL 1023]:[RAL 9005]])</f>
        <v>0</v>
      </c>
      <c r="P70" s="62">
        <f>Tabela134[[#This Row],[PCS]]*Tabela134[[#This Row],[Weight (kg)]]</f>
        <v>0</v>
      </c>
      <c r="Q70" s="393"/>
      <c r="R70" s="482"/>
      <c r="S70" s="486"/>
      <c r="T70" s="466"/>
      <c r="U70" s="435"/>
      <c r="V70" s="467"/>
      <c r="W70" s="468"/>
      <c r="X70" s="436"/>
      <c r="Y70" s="470"/>
      <c r="Z70" s="469"/>
      <c r="AA70" s="449"/>
      <c r="AB70" s="402"/>
      <c r="AC70" s="402"/>
      <c r="AD70" s="403"/>
      <c r="AE70" s="30"/>
      <c r="AF70" s="30"/>
      <c r="AG70" s="30"/>
    </row>
    <row r="71" spans="2:33" ht="12" customHeight="1" thickBot="1" x14ac:dyDescent="0.3">
      <c r="B71" s="29" t="s">
        <v>346</v>
      </c>
      <c r="C71" s="92" t="s">
        <v>347</v>
      </c>
      <c r="D71" s="204" t="s">
        <v>1052</v>
      </c>
      <c r="E71" s="48" t="s">
        <v>430</v>
      </c>
      <c r="F71" s="47">
        <v>6.5</v>
      </c>
      <c r="G71" s="224">
        <v>115</v>
      </c>
      <c r="H71" s="224">
        <f>ROUNDUP(Tabela134[[#This Row],[ OLD PRICE]]*(1+PRICES!$C$3),0)</f>
        <v>138</v>
      </c>
      <c r="I71" s="158">
        <v>0.2</v>
      </c>
      <c r="J71" s="49">
        <f>Tabela134[[#This Row],[ OLD PRICE]]*Tabela134[[#This Row],[DISCOUNT per piece '[%']]]</f>
        <v>23</v>
      </c>
      <c r="K71" s="49">
        <f>Tabela134[[#This Row],[ OLD PRICE]]*(1-Tabela134[[#This Row],[DISCOUNT per piece '[%']]])</f>
        <v>92</v>
      </c>
      <c r="L71" s="178">
        <f>Tabela134[[#This Row],[PCS]]*Tabela134[[#This Row],[PROMOTIONAL PRICE]]</f>
        <v>0</v>
      </c>
      <c r="M71" s="492" cm="1">
        <f t="array" ref="M71">ROUNDUP(Tabela134[[#This Row],[NEW PRICE]]*eurofxref_daily[],2)</f>
        <v>222.01999999999998</v>
      </c>
      <c r="N71" s="493">
        <f>Tabela134[[#This Row],[CAD PRICE]]*O71</f>
        <v>0</v>
      </c>
      <c r="O71" s="62">
        <f>SUM(Tabela134[[#This Row],[RAL 1023]:[RAL 9005]])</f>
        <v>0</v>
      </c>
      <c r="P71" s="62">
        <f>Tabela134[[#This Row],[PCS]]*Tabela134[[#This Row],[Weight (kg)]]</f>
        <v>0</v>
      </c>
      <c r="Q71" s="393"/>
      <c r="R71" s="482"/>
      <c r="S71" s="486"/>
      <c r="T71" s="466"/>
      <c r="U71" s="435"/>
      <c r="V71" s="467"/>
      <c r="W71" s="468"/>
      <c r="X71" s="436"/>
      <c r="Y71" s="470"/>
      <c r="Z71" s="469"/>
      <c r="AA71" s="449"/>
      <c r="AB71" s="402"/>
      <c r="AC71" s="402"/>
      <c r="AD71" s="403"/>
      <c r="AE71" s="30"/>
      <c r="AF71" s="30"/>
      <c r="AG71" s="30"/>
    </row>
    <row r="72" spans="2:33" ht="12" customHeight="1" thickBot="1" x14ac:dyDescent="0.3">
      <c r="B72" s="45" t="s">
        <v>348</v>
      </c>
      <c r="C72" s="92" t="s">
        <v>349</v>
      </c>
      <c r="D72" s="204" t="s">
        <v>1053</v>
      </c>
      <c r="E72" s="78" t="s">
        <v>430</v>
      </c>
      <c r="F72" s="77">
        <v>6.5</v>
      </c>
      <c r="G72" s="224">
        <v>115</v>
      </c>
      <c r="H72" s="224">
        <f>ROUNDUP(Tabela134[[#This Row],[ OLD PRICE]]*(1+PRICES!$C$3),0)</f>
        <v>138</v>
      </c>
      <c r="I72" s="175">
        <v>0.2</v>
      </c>
      <c r="J72" s="79">
        <f>Tabela134[[#This Row],[ OLD PRICE]]*Tabela134[[#This Row],[DISCOUNT per piece '[%']]]</f>
        <v>23</v>
      </c>
      <c r="K72" s="79">
        <f>Tabela134[[#This Row],[ OLD PRICE]]*(1-Tabela134[[#This Row],[DISCOUNT per piece '[%']]])</f>
        <v>92</v>
      </c>
      <c r="L72" s="176">
        <f>Tabela134[[#This Row],[PCS]]*Tabela134[[#This Row],[PROMOTIONAL PRICE]]</f>
        <v>0</v>
      </c>
      <c r="M72" s="492" cm="1">
        <f t="array" ref="M72">ROUNDUP(Tabela134[[#This Row],[NEW PRICE]]*eurofxref_daily[],2)</f>
        <v>222.01999999999998</v>
      </c>
      <c r="N72" s="493">
        <f>Tabela134[[#This Row],[CAD PRICE]]*O72</f>
        <v>0</v>
      </c>
      <c r="O72" s="62">
        <f>SUM(Tabela134[[#This Row],[RAL 1023]:[RAL 9005]])</f>
        <v>0</v>
      </c>
      <c r="P72" s="62">
        <f>Tabela134[[#This Row],[PCS]]*Tabela134[[#This Row],[Weight (kg)]]</f>
        <v>0</v>
      </c>
      <c r="Q72" s="393"/>
      <c r="R72" s="482"/>
      <c r="S72" s="486"/>
      <c r="T72" s="466"/>
      <c r="U72" s="435"/>
      <c r="V72" s="467"/>
      <c r="W72" s="468"/>
      <c r="X72" s="436"/>
      <c r="Y72" s="470"/>
      <c r="Z72" s="469"/>
      <c r="AA72" s="449"/>
      <c r="AB72" s="402"/>
      <c r="AC72" s="402"/>
      <c r="AD72" s="403"/>
      <c r="AE72" s="30"/>
      <c r="AF72" s="30"/>
      <c r="AG72" s="30"/>
    </row>
    <row r="73" spans="2:33" ht="12" customHeight="1" thickBot="1" x14ac:dyDescent="0.3">
      <c r="B73" s="29" t="s">
        <v>350</v>
      </c>
      <c r="C73" s="92" t="s">
        <v>351</v>
      </c>
      <c r="D73" s="204" t="s">
        <v>1073</v>
      </c>
      <c r="E73" s="48" t="s">
        <v>431</v>
      </c>
      <c r="F73" s="47">
        <v>7.5</v>
      </c>
      <c r="G73" s="224">
        <v>141</v>
      </c>
      <c r="H73" s="224">
        <f>ROUNDUP(Tabela134[[#This Row],[ OLD PRICE]]*(1+PRICES!$C$3),0)</f>
        <v>170</v>
      </c>
      <c r="I73" s="158">
        <v>0.2</v>
      </c>
      <c r="J73" s="49">
        <f>Tabela134[[#This Row],[ OLD PRICE]]*Tabela134[[#This Row],[DISCOUNT per piece '[%']]]</f>
        <v>28.200000000000003</v>
      </c>
      <c r="K73" s="49">
        <f>Tabela134[[#This Row],[ OLD PRICE]]*(1-Tabela134[[#This Row],[DISCOUNT per piece '[%']]])</f>
        <v>112.80000000000001</v>
      </c>
      <c r="L73" s="178">
        <f>Tabela134[[#This Row],[PCS]]*Tabela134[[#This Row],[PROMOTIONAL PRICE]]</f>
        <v>0</v>
      </c>
      <c r="M73" s="492" cm="1">
        <f t="array" ref="M73">ROUNDUP(Tabela134[[#This Row],[NEW PRICE]]*eurofxref_daily[],2)</f>
        <v>273.5</v>
      </c>
      <c r="N73" s="493">
        <f>Tabela134[[#This Row],[CAD PRICE]]*O73</f>
        <v>0</v>
      </c>
      <c r="O73" s="62">
        <f>SUM(Tabela134[[#This Row],[RAL 1023]:[RAL 9005]])</f>
        <v>0</v>
      </c>
      <c r="P73" s="62">
        <f>Tabela134[[#This Row],[PCS]]*Tabela134[[#This Row],[Weight (kg)]]</f>
        <v>0</v>
      </c>
      <c r="Q73" s="393"/>
      <c r="R73" s="482"/>
      <c r="S73" s="486"/>
      <c r="T73" s="466"/>
      <c r="U73" s="435"/>
      <c r="V73" s="467"/>
      <c r="W73" s="468"/>
      <c r="X73" s="436"/>
      <c r="Y73" s="470"/>
      <c r="Z73" s="469"/>
      <c r="AA73" s="449"/>
      <c r="AB73" s="402"/>
      <c r="AC73" s="402"/>
      <c r="AD73" s="403"/>
      <c r="AE73" s="30"/>
      <c r="AF73" s="30"/>
      <c r="AG73" s="30"/>
    </row>
    <row r="74" spans="2:33" ht="12" customHeight="1" thickBot="1" x14ac:dyDescent="0.3">
      <c r="B74" s="45" t="s">
        <v>352</v>
      </c>
      <c r="C74" s="92" t="s">
        <v>353</v>
      </c>
      <c r="D74" s="204" t="s">
        <v>1054</v>
      </c>
      <c r="E74" s="78" t="s">
        <v>431</v>
      </c>
      <c r="F74" s="77">
        <v>7.5</v>
      </c>
      <c r="G74" s="224">
        <v>141</v>
      </c>
      <c r="H74" s="224">
        <f>ROUNDUP(Tabela134[[#This Row],[ OLD PRICE]]*(1+PRICES!$C$3),0)</f>
        <v>170</v>
      </c>
      <c r="I74" s="175">
        <v>0.2</v>
      </c>
      <c r="J74" s="79">
        <f>Tabela134[[#This Row],[ OLD PRICE]]*Tabela134[[#This Row],[DISCOUNT per piece '[%']]]</f>
        <v>28.200000000000003</v>
      </c>
      <c r="K74" s="79">
        <f>Tabela134[[#This Row],[ OLD PRICE]]*(1-Tabela134[[#This Row],[DISCOUNT per piece '[%']]])</f>
        <v>112.80000000000001</v>
      </c>
      <c r="L74" s="176">
        <f>Tabela134[[#This Row],[PCS]]*Tabela134[[#This Row],[PROMOTIONAL PRICE]]</f>
        <v>0</v>
      </c>
      <c r="M74" s="492" cm="1">
        <f t="array" ref="M74">ROUNDUP(Tabela134[[#This Row],[NEW PRICE]]*eurofxref_daily[],2)</f>
        <v>273.5</v>
      </c>
      <c r="N74" s="493">
        <f>Tabela134[[#This Row],[CAD PRICE]]*O74</f>
        <v>0</v>
      </c>
      <c r="O74" s="62">
        <f>SUM(Tabela134[[#This Row],[RAL 1023]:[RAL 9005]])</f>
        <v>0</v>
      </c>
      <c r="P74" s="62">
        <f>Tabela134[[#This Row],[PCS]]*Tabela134[[#This Row],[Weight (kg)]]</f>
        <v>0</v>
      </c>
      <c r="Q74" s="393"/>
      <c r="R74" s="482"/>
      <c r="S74" s="486"/>
      <c r="T74" s="466"/>
      <c r="U74" s="435"/>
      <c r="V74" s="467"/>
      <c r="W74" s="468"/>
      <c r="X74" s="436"/>
      <c r="Y74" s="470"/>
      <c r="Z74" s="469"/>
      <c r="AA74" s="449"/>
      <c r="AB74" s="402"/>
      <c r="AC74" s="402"/>
      <c r="AD74" s="403"/>
      <c r="AE74" s="30"/>
      <c r="AF74" s="30"/>
      <c r="AG74" s="30"/>
    </row>
    <row r="75" spans="2:33" ht="12" customHeight="1" thickBot="1" x14ac:dyDescent="0.3">
      <c r="B75" s="29" t="s">
        <v>354</v>
      </c>
      <c r="C75" s="92" t="s">
        <v>355</v>
      </c>
      <c r="D75" s="204" t="s">
        <v>1055</v>
      </c>
      <c r="E75" s="48" t="s">
        <v>431</v>
      </c>
      <c r="F75" s="47">
        <v>7.5</v>
      </c>
      <c r="G75" s="224">
        <v>141</v>
      </c>
      <c r="H75" s="224">
        <f>ROUNDUP(Tabela134[[#This Row],[ OLD PRICE]]*(1+PRICES!$C$3),0)</f>
        <v>170</v>
      </c>
      <c r="I75" s="158">
        <v>0.2</v>
      </c>
      <c r="J75" s="49">
        <f>Tabela134[[#This Row],[ OLD PRICE]]*Tabela134[[#This Row],[DISCOUNT per piece '[%']]]</f>
        <v>28.200000000000003</v>
      </c>
      <c r="K75" s="49">
        <f>Tabela134[[#This Row],[ OLD PRICE]]*(1-Tabela134[[#This Row],[DISCOUNT per piece '[%']]])</f>
        <v>112.80000000000001</v>
      </c>
      <c r="L75" s="178">
        <f>Tabela134[[#This Row],[PCS]]*Tabela134[[#This Row],[PROMOTIONAL PRICE]]</f>
        <v>0</v>
      </c>
      <c r="M75" s="492" cm="1">
        <f t="array" ref="M75">ROUNDUP(Tabela134[[#This Row],[NEW PRICE]]*eurofxref_daily[],2)</f>
        <v>273.5</v>
      </c>
      <c r="N75" s="493">
        <f>Tabela134[[#This Row],[CAD PRICE]]*O75</f>
        <v>0</v>
      </c>
      <c r="O75" s="62">
        <f>SUM(Tabela134[[#This Row],[RAL 1023]:[RAL 9005]])</f>
        <v>0</v>
      </c>
      <c r="P75" s="62">
        <f>Tabela134[[#This Row],[PCS]]*Tabela134[[#This Row],[Weight (kg)]]</f>
        <v>0</v>
      </c>
      <c r="Q75" s="393"/>
      <c r="R75" s="482"/>
      <c r="S75" s="486"/>
      <c r="T75" s="466"/>
      <c r="U75" s="435"/>
      <c r="V75" s="467"/>
      <c r="W75" s="468"/>
      <c r="X75" s="436"/>
      <c r="Y75" s="470"/>
      <c r="Z75" s="469"/>
      <c r="AA75" s="449"/>
      <c r="AB75" s="402"/>
      <c r="AC75" s="402"/>
      <c r="AD75" s="403"/>
      <c r="AE75" s="30"/>
      <c r="AF75" s="30"/>
      <c r="AG75" s="30"/>
    </row>
    <row r="76" spans="2:33" ht="12" customHeight="1" thickBot="1" x14ac:dyDescent="0.3">
      <c r="B76" s="45" t="s">
        <v>356</v>
      </c>
      <c r="C76" s="92" t="s">
        <v>357</v>
      </c>
      <c r="D76" s="204" t="s">
        <v>1056</v>
      </c>
      <c r="E76" s="78" t="s">
        <v>431</v>
      </c>
      <c r="F76" s="77">
        <v>7.5</v>
      </c>
      <c r="G76" s="224">
        <v>141</v>
      </c>
      <c r="H76" s="224">
        <f>ROUNDUP(Tabela134[[#This Row],[ OLD PRICE]]*(1+PRICES!$C$3),0)</f>
        <v>170</v>
      </c>
      <c r="I76" s="175">
        <v>0.2</v>
      </c>
      <c r="J76" s="79">
        <f>Tabela134[[#This Row],[ OLD PRICE]]*Tabela134[[#This Row],[DISCOUNT per piece '[%']]]</f>
        <v>28.200000000000003</v>
      </c>
      <c r="K76" s="79">
        <f>Tabela134[[#This Row],[ OLD PRICE]]*(1-Tabela134[[#This Row],[DISCOUNT per piece '[%']]])</f>
        <v>112.80000000000001</v>
      </c>
      <c r="L76" s="176">
        <f>Tabela134[[#This Row],[PCS]]*Tabela134[[#This Row],[PROMOTIONAL PRICE]]</f>
        <v>0</v>
      </c>
      <c r="M76" s="492" cm="1">
        <f t="array" ref="M76">ROUNDUP(Tabela134[[#This Row],[NEW PRICE]]*eurofxref_daily[],2)</f>
        <v>273.5</v>
      </c>
      <c r="N76" s="493">
        <f>Tabela134[[#This Row],[CAD PRICE]]*O76</f>
        <v>0</v>
      </c>
      <c r="O76" s="62">
        <f>SUM(Tabela134[[#This Row],[RAL 1023]:[RAL 9005]])</f>
        <v>0</v>
      </c>
      <c r="P76" s="62">
        <f>Tabela134[[#This Row],[PCS]]*Tabela134[[#This Row],[Weight (kg)]]</f>
        <v>0</v>
      </c>
      <c r="Q76" s="393"/>
      <c r="R76" s="482"/>
      <c r="S76" s="486"/>
      <c r="T76" s="466"/>
      <c r="U76" s="435"/>
      <c r="V76" s="467"/>
      <c r="W76" s="468"/>
      <c r="X76" s="436"/>
      <c r="Y76" s="470"/>
      <c r="Z76" s="469"/>
      <c r="AA76" s="449"/>
      <c r="AB76" s="402"/>
      <c r="AC76" s="402"/>
      <c r="AD76" s="403"/>
      <c r="AE76" s="30"/>
      <c r="AF76" s="30"/>
      <c r="AG76" s="30"/>
    </row>
    <row r="77" spans="2:33" ht="12" customHeight="1" thickBot="1" x14ac:dyDescent="0.3">
      <c r="B77" s="29" t="s">
        <v>358</v>
      </c>
      <c r="C77" s="92" t="s">
        <v>359</v>
      </c>
      <c r="D77" s="204" t="s">
        <v>1057</v>
      </c>
      <c r="E77" s="48" t="s">
        <v>432</v>
      </c>
      <c r="F77" s="47">
        <v>8</v>
      </c>
      <c r="G77" s="224">
        <v>146</v>
      </c>
      <c r="H77" s="224">
        <f>ROUNDUP(Tabela134[[#This Row],[ OLD PRICE]]*(1+PRICES!$C$3),0)</f>
        <v>176</v>
      </c>
      <c r="I77" s="158">
        <v>0.2</v>
      </c>
      <c r="J77" s="49">
        <f>Tabela134[[#This Row],[ OLD PRICE]]*Tabela134[[#This Row],[DISCOUNT per piece '[%']]]</f>
        <v>29.200000000000003</v>
      </c>
      <c r="K77" s="49">
        <f>Tabela134[[#This Row],[ OLD PRICE]]*(1-Tabela134[[#This Row],[DISCOUNT per piece '[%']]])</f>
        <v>116.80000000000001</v>
      </c>
      <c r="L77" s="178">
        <f>Tabela134[[#This Row],[PCS]]*Tabela134[[#This Row],[PROMOTIONAL PRICE]]</f>
        <v>0</v>
      </c>
      <c r="M77" s="492" cm="1">
        <f t="array" ref="M77">ROUNDUP(Tabela134[[#This Row],[NEW PRICE]]*eurofxref_daily[],2)</f>
        <v>283.14999999999998</v>
      </c>
      <c r="N77" s="493">
        <f>Tabela134[[#This Row],[CAD PRICE]]*O77</f>
        <v>0</v>
      </c>
      <c r="O77" s="62">
        <f>SUM(Tabela134[[#This Row],[RAL 1023]:[RAL 9005]])</f>
        <v>0</v>
      </c>
      <c r="P77" s="62">
        <f>Tabela134[[#This Row],[PCS]]*Tabela134[[#This Row],[Weight (kg)]]</f>
        <v>0</v>
      </c>
      <c r="Q77" s="393"/>
      <c r="R77" s="482"/>
      <c r="S77" s="486"/>
      <c r="T77" s="466"/>
      <c r="U77" s="435"/>
      <c r="V77" s="467"/>
      <c r="W77" s="468"/>
      <c r="X77" s="436"/>
      <c r="Y77" s="470"/>
      <c r="Z77" s="469"/>
      <c r="AA77" s="449"/>
      <c r="AB77" s="402"/>
      <c r="AC77" s="402"/>
      <c r="AD77" s="403"/>
      <c r="AE77" s="30"/>
      <c r="AF77" s="30"/>
      <c r="AG77" s="30"/>
    </row>
    <row r="78" spans="2:33" ht="12" customHeight="1" thickBot="1" x14ac:dyDescent="0.3">
      <c r="B78" s="45" t="s">
        <v>360</v>
      </c>
      <c r="C78" s="92" t="s">
        <v>361</v>
      </c>
      <c r="D78" s="204" t="s">
        <v>1058</v>
      </c>
      <c r="E78" s="78" t="s">
        <v>432</v>
      </c>
      <c r="F78" s="77">
        <v>8</v>
      </c>
      <c r="G78" s="224">
        <v>146</v>
      </c>
      <c r="H78" s="224">
        <f>ROUNDUP(Tabela134[[#This Row],[ OLD PRICE]]*(1+PRICES!$C$3),0)</f>
        <v>176</v>
      </c>
      <c r="I78" s="175">
        <v>0.2</v>
      </c>
      <c r="J78" s="79">
        <f>Tabela134[[#This Row],[ OLD PRICE]]*Tabela134[[#This Row],[DISCOUNT per piece '[%']]]</f>
        <v>29.200000000000003</v>
      </c>
      <c r="K78" s="79">
        <f>Tabela134[[#This Row],[ OLD PRICE]]*(1-Tabela134[[#This Row],[DISCOUNT per piece '[%']]])</f>
        <v>116.80000000000001</v>
      </c>
      <c r="L78" s="176">
        <f>Tabela134[[#This Row],[PCS]]*Tabela134[[#This Row],[PROMOTIONAL PRICE]]</f>
        <v>0</v>
      </c>
      <c r="M78" s="492" cm="1">
        <f t="array" ref="M78">ROUNDUP(Tabela134[[#This Row],[NEW PRICE]]*eurofxref_daily[],2)</f>
        <v>283.14999999999998</v>
      </c>
      <c r="N78" s="493">
        <f>Tabela134[[#This Row],[CAD PRICE]]*O78</f>
        <v>0</v>
      </c>
      <c r="O78" s="62">
        <f>SUM(Tabela134[[#This Row],[RAL 1023]:[RAL 9005]])</f>
        <v>0</v>
      </c>
      <c r="P78" s="62">
        <f>Tabela134[[#This Row],[PCS]]*Tabela134[[#This Row],[Weight (kg)]]</f>
        <v>0</v>
      </c>
      <c r="Q78" s="393"/>
      <c r="R78" s="482"/>
      <c r="S78" s="486"/>
      <c r="T78" s="466"/>
      <c r="U78" s="435"/>
      <c r="V78" s="467"/>
      <c r="W78" s="468"/>
      <c r="X78" s="436"/>
      <c r="Y78" s="470"/>
      <c r="Z78" s="469"/>
      <c r="AA78" s="449"/>
      <c r="AB78" s="402"/>
      <c r="AC78" s="402"/>
      <c r="AD78" s="403"/>
      <c r="AE78" s="30"/>
      <c r="AF78" s="30"/>
      <c r="AG78" s="30"/>
    </row>
    <row r="79" spans="2:33" ht="12" customHeight="1" thickBot="1" x14ac:dyDescent="0.3">
      <c r="B79" s="29" t="s">
        <v>362</v>
      </c>
      <c r="C79" s="92" t="s">
        <v>363</v>
      </c>
      <c r="D79" s="204" t="s">
        <v>1059</v>
      </c>
      <c r="E79" s="48" t="s">
        <v>432</v>
      </c>
      <c r="F79" s="47">
        <v>8</v>
      </c>
      <c r="G79" s="224">
        <v>146</v>
      </c>
      <c r="H79" s="224">
        <f>ROUNDUP(Tabela134[[#This Row],[ OLD PRICE]]*(1+PRICES!$C$3),0)</f>
        <v>176</v>
      </c>
      <c r="I79" s="158">
        <v>0.2</v>
      </c>
      <c r="J79" s="49">
        <f>Tabela134[[#This Row],[ OLD PRICE]]*Tabela134[[#This Row],[DISCOUNT per piece '[%']]]</f>
        <v>29.200000000000003</v>
      </c>
      <c r="K79" s="49">
        <f>Tabela134[[#This Row],[ OLD PRICE]]*(1-Tabela134[[#This Row],[DISCOUNT per piece '[%']]])</f>
        <v>116.80000000000001</v>
      </c>
      <c r="L79" s="178">
        <f>Tabela134[[#This Row],[PCS]]*Tabela134[[#This Row],[PROMOTIONAL PRICE]]</f>
        <v>0</v>
      </c>
      <c r="M79" s="492" cm="1">
        <f t="array" ref="M79">ROUNDUP(Tabela134[[#This Row],[NEW PRICE]]*eurofxref_daily[],2)</f>
        <v>283.14999999999998</v>
      </c>
      <c r="N79" s="493">
        <f>Tabela134[[#This Row],[CAD PRICE]]*O79</f>
        <v>0</v>
      </c>
      <c r="O79" s="62">
        <f>SUM(Tabela134[[#This Row],[RAL 1023]:[RAL 9005]])</f>
        <v>0</v>
      </c>
      <c r="P79" s="62">
        <f>Tabela134[[#This Row],[PCS]]*Tabela134[[#This Row],[Weight (kg)]]</f>
        <v>0</v>
      </c>
      <c r="Q79" s="393"/>
      <c r="R79" s="482"/>
      <c r="S79" s="486"/>
      <c r="T79" s="466"/>
      <c r="U79" s="435"/>
      <c r="V79" s="467"/>
      <c r="W79" s="468"/>
      <c r="X79" s="436"/>
      <c r="Y79" s="470"/>
      <c r="Z79" s="469"/>
      <c r="AA79" s="449"/>
      <c r="AB79" s="402"/>
      <c r="AC79" s="402"/>
      <c r="AD79" s="403"/>
      <c r="AE79" s="30"/>
      <c r="AF79" s="30"/>
      <c r="AG79" s="30"/>
    </row>
    <row r="80" spans="2:33" ht="12" customHeight="1" thickBot="1" x14ac:dyDescent="0.3">
      <c r="B80" s="45" t="s">
        <v>364</v>
      </c>
      <c r="C80" s="92" t="s">
        <v>365</v>
      </c>
      <c r="D80" s="204" t="s">
        <v>1060</v>
      </c>
      <c r="E80" s="78" t="s">
        <v>432</v>
      </c>
      <c r="F80" s="77">
        <v>8</v>
      </c>
      <c r="G80" s="224">
        <v>146</v>
      </c>
      <c r="H80" s="224">
        <f>ROUNDUP(Tabela134[[#This Row],[ OLD PRICE]]*(1+PRICES!$C$3),0)</f>
        <v>176</v>
      </c>
      <c r="I80" s="175">
        <v>0.2</v>
      </c>
      <c r="J80" s="79">
        <f>Tabela134[[#This Row],[ OLD PRICE]]*Tabela134[[#This Row],[DISCOUNT per piece '[%']]]</f>
        <v>29.200000000000003</v>
      </c>
      <c r="K80" s="79">
        <f>Tabela134[[#This Row],[ OLD PRICE]]*(1-Tabela134[[#This Row],[DISCOUNT per piece '[%']]])</f>
        <v>116.80000000000001</v>
      </c>
      <c r="L80" s="176">
        <f>Tabela134[[#This Row],[PCS]]*Tabela134[[#This Row],[PROMOTIONAL PRICE]]</f>
        <v>0</v>
      </c>
      <c r="M80" s="492" cm="1">
        <f t="array" ref="M80">ROUNDUP(Tabela134[[#This Row],[NEW PRICE]]*eurofxref_daily[],2)</f>
        <v>283.14999999999998</v>
      </c>
      <c r="N80" s="493">
        <f>Tabela134[[#This Row],[CAD PRICE]]*O80</f>
        <v>0</v>
      </c>
      <c r="O80" s="62">
        <f>SUM(Tabela134[[#This Row],[RAL 1023]:[RAL 9005]])</f>
        <v>0</v>
      </c>
      <c r="P80" s="62">
        <f>Tabela134[[#This Row],[PCS]]*Tabela134[[#This Row],[Weight (kg)]]</f>
        <v>0</v>
      </c>
      <c r="Q80" s="393"/>
      <c r="R80" s="482"/>
      <c r="S80" s="486"/>
      <c r="T80" s="466"/>
      <c r="U80" s="435"/>
      <c r="V80" s="467"/>
      <c r="W80" s="468"/>
      <c r="X80" s="436"/>
      <c r="Y80" s="470"/>
      <c r="Z80" s="469"/>
      <c r="AA80" s="449"/>
      <c r="AB80" s="402"/>
      <c r="AC80" s="402"/>
      <c r="AD80" s="403"/>
      <c r="AE80" s="30"/>
      <c r="AF80" s="30"/>
      <c r="AG80" s="30"/>
    </row>
    <row r="81" spans="2:33" ht="12" customHeight="1" thickBot="1" x14ac:dyDescent="0.3">
      <c r="B81" s="29" t="s">
        <v>366</v>
      </c>
      <c r="C81" s="92" t="s">
        <v>367</v>
      </c>
      <c r="D81" s="204" t="s">
        <v>1061</v>
      </c>
      <c r="E81" s="48" t="s">
        <v>433</v>
      </c>
      <c r="F81" s="47">
        <v>9</v>
      </c>
      <c r="G81" s="224">
        <v>175</v>
      </c>
      <c r="H81" s="224">
        <f>ROUNDUP(Tabela134[[#This Row],[ OLD PRICE]]*(1+PRICES!$C$3),0)</f>
        <v>210</v>
      </c>
      <c r="I81" s="158">
        <v>0.2</v>
      </c>
      <c r="J81" s="49">
        <f>Tabela134[[#This Row],[ OLD PRICE]]*Tabela134[[#This Row],[DISCOUNT per piece '[%']]]</f>
        <v>35</v>
      </c>
      <c r="K81" s="49">
        <f>Tabela134[[#This Row],[ OLD PRICE]]*(1-Tabela134[[#This Row],[DISCOUNT per piece '[%']]])</f>
        <v>140</v>
      </c>
      <c r="L81" s="178">
        <f>Tabela134[[#This Row],[PCS]]*Tabela134[[#This Row],[PROMOTIONAL PRICE]]</f>
        <v>0</v>
      </c>
      <c r="M81" s="492" cm="1">
        <f t="array" ref="M81">ROUNDUP(Tabela134[[#This Row],[NEW PRICE]]*eurofxref_daily[],2)</f>
        <v>337.84999999999997</v>
      </c>
      <c r="N81" s="493">
        <f>Tabela134[[#This Row],[CAD PRICE]]*O81</f>
        <v>0</v>
      </c>
      <c r="O81" s="62">
        <f>SUM(Tabela134[[#This Row],[RAL 1023]:[RAL 9005]])</f>
        <v>0</v>
      </c>
      <c r="P81" s="62">
        <f>Tabela134[[#This Row],[PCS]]*Tabela134[[#This Row],[Weight (kg)]]</f>
        <v>0</v>
      </c>
      <c r="Q81" s="393"/>
      <c r="R81" s="482"/>
      <c r="S81" s="486"/>
      <c r="T81" s="466"/>
      <c r="U81" s="435"/>
      <c r="V81" s="467"/>
      <c r="W81" s="468"/>
      <c r="X81" s="436"/>
      <c r="Y81" s="470"/>
      <c r="Z81" s="469"/>
      <c r="AA81" s="449"/>
      <c r="AB81" s="402"/>
      <c r="AC81" s="402"/>
      <c r="AD81" s="403"/>
      <c r="AE81" s="30"/>
      <c r="AF81" s="30"/>
      <c r="AG81" s="30"/>
    </row>
    <row r="82" spans="2:33" ht="12" customHeight="1" thickBot="1" x14ac:dyDescent="0.3">
      <c r="B82" s="45" t="s">
        <v>368</v>
      </c>
      <c r="C82" s="92" t="s">
        <v>369</v>
      </c>
      <c r="D82" s="204" t="s">
        <v>1062</v>
      </c>
      <c r="E82" s="78" t="s">
        <v>433</v>
      </c>
      <c r="F82" s="77">
        <v>9</v>
      </c>
      <c r="G82" s="224">
        <v>175</v>
      </c>
      <c r="H82" s="224">
        <f>ROUNDUP(Tabela134[[#This Row],[ OLD PRICE]]*(1+PRICES!$C$3),0)</f>
        <v>210</v>
      </c>
      <c r="I82" s="175">
        <v>0.2</v>
      </c>
      <c r="J82" s="79">
        <f>Tabela134[[#This Row],[ OLD PRICE]]*Tabela134[[#This Row],[DISCOUNT per piece '[%']]]</f>
        <v>35</v>
      </c>
      <c r="K82" s="79">
        <f>Tabela134[[#This Row],[ OLD PRICE]]*(1-Tabela134[[#This Row],[DISCOUNT per piece '[%']]])</f>
        <v>140</v>
      </c>
      <c r="L82" s="176">
        <f>Tabela134[[#This Row],[PCS]]*Tabela134[[#This Row],[PROMOTIONAL PRICE]]</f>
        <v>0</v>
      </c>
      <c r="M82" s="492" cm="1">
        <f t="array" ref="M82">ROUNDUP(Tabela134[[#This Row],[NEW PRICE]]*eurofxref_daily[],2)</f>
        <v>337.84999999999997</v>
      </c>
      <c r="N82" s="493">
        <f>Tabela134[[#This Row],[CAD PRICE]]*O82</f>
        <v>0</v>
      </c>
      <c r="O82" s="62">
        <f>SUM(Tabela134[[#This Row],[RAL 1023]:[RAL 9005]])</f>
        <v>0</v>
      </c>
      <c r="P82" s="62">
        <f>Tabela134[[#This Row],[PCS]]*Tabela134[[#This Row],[Weight (kg)]]</f>
        <v>0</v>
      </c>
      <c r="Q82" s="393"/>
      <c r="R82" s="482"/>
      <c r="S82" s="486"/>
      <c r="T82" s="466"/>
      <c r="U82" s="435"/>
      <c r="V82" s="467"/>
      <c r="W82" s="468"/>
      <c r="X82" s="436"/>
      <c r="Y82" s="470"/>
      <c r="Z82" s="469"/>
      <c r="AA82" s="449"/>
      <c r="AB82" s="402"/>
      <c r="AC82" s="402"/>
      <c r="AD82" s="403"/>
      <c r="AE82" s="30"/>
      <c r="AF82" s="30"/>
      <c r="AG82" s="30"/>
    </row>
    <row r="83" spans="2:33" ht="12" customHeight="1" thickBot="1" x14ac:dyDescent="0.3">
      <c r="B83" s="29" t="s">
        <v>370</v>
      </c>
      <c r="C83" s="92" t="s">
        <v>371</v>
      </c>
      <c r="D83" s="204" t="s">
        <v>1063</v>
      </c>
      <c r="E83" s="48" t="s">
        <v>433</v>
      </c>
      <c r="F83" s="47">
        <v>9</v>
      </c>
      <c r="G83" s="224">
        <v>175</v>
      </c>
      <c r="H83" s="224">
        <f>ROUNDUP(Tabela134[[#This Row],[ OLD PRICE]]*(1+PRICES!$C$3),0)</f>
        <v>210</v>
      </c>
      <c r="I83" s="158">
        <v>0.2</v>
      </c>
      <c r="J83" s="49">
        <f>Tabela134[[#This Row],[ OLD PRICE]]*Tabela134[[#This Row],[DISCOUNT per piece '[%']]]</f>
        <v>35</v>
      </c>
      <c r="K83" s="49">
        <f>Tabela134[[#This Row],[ OLD PRICE]]*(1-Tabela134[[#This Row],[DISCOUNT per piece '[%']]])</f>
        <v>140</v>
      </c>
      <c r="L83" s="178">
        <f>Tabela134[[#This Row],[PCS]]*Tabela134[[#This Row],[PROMOTIONAL PRICE]]</f>
        <v>0</v>
      </c>
      <c r="M83" s="492" cm="1">
        <f t="array" ref="M83">ROUNDUP(Tabela134[[#This Row],[NEW PRICE]]*eurofxref_daily[],2)</f>
        <v>337.84999999999997</v>
      </c>
      <c r="N83" s="493">
        <f>Tabela134[[#This Row],[CAD PRICE]]*O83</f>
        <v>0</v>
      </c>
      <c r="O83" s="62">
        <f>SUM(Tabela134[[#This Row],[RAL 1023]:[RAL 9005]])</f>
        <v>0</v>
      </c>
      <c r="P83" s="62">
        <f>Tabela134[[#This Row],[PCS]]*Tabela134[[#This Row],[Weight (kg)]]</f>
        <v>0</v>
      </c>
      <c r="Q83" s="393"/>
      <c r="R83" s="482"/>
      <c r="S83" s="486"/>
      <c r="T83" s="466"/>
      <c r="U83" s="435"/>
      <c r="V83" s="467"/>
      <c r="W83" s="468"/>
      <c r="X83" s="436"/>
      <c r="Y83" s="470"/>
      <c r="Z83" s="469"/>
      <c r="AA83" s="449"/>
      <c r="AB83" s="402"/>
      <c r="AC83" s="402"/>
      <c r="AD83" s="403"/>
      <c r="AE83" s="30"/>
      <c r="AF83" s="30"/>
      <c r="AG83" s="30"/>
    </row>
    <row r="84" spans="2:33" ht="12" customHeight="1" thickBot="1" x14ac:dyDescent="0.3">
      <c r="B84" s="45" t="s">
        <v>372</v>
      </c>
      <c r="C84" s="92" t="s">
        <v>373</v>
      </c>
      <c r="D84" s="204" t="s">
        <v>1064</v>
      </c>
      <c r="E84" s="78" t="s">
        <v>433</v>
      </c>
      <c r="F84" s="77">
        <v>9</v>
      </c>
      <c r="G84" s="224">
        <v>175</v>
      </c>
      <c r="H84" s="224">
        <f>ROUNDUP(Tabela134[[#This Row],[ OLD PRICE]]*(1+PRICES!$C$3),0)</f>
        <v>210</v>
      </c>
      <c r="I84" s="175">
        <v>0.2</v>
      </c>
      <c r="J84" s="79">
        <f>Tabela134[[#This Row],[ OLD PRICE]]*Tabela134[[#This Row],[DISCOUNT per piece '[%']]]</f>
        <v>35</v>
      </c>
      <c r="K84" s="79">
        <f>Tabela134[[#This Row],[ OLD PRICE]]*(1-Tabela134[[#This Row],[DISCOUNT per piece '[%']]])</f>
        <v>140</v>
      </c>
      <c r="L84" s="176">
        <f>Tabela134[[#This Row],[PCS]]*Tabela134[[#This Row],[PROMOTIONAL PRICE]]</f>
        <v>0</v>
      </c>
      <c r="M84" s="492" cm="1">
        <f t="array" ref="M84">ROUNDUP(Tabela134[[#This Row],[NEW PRICE]]*eurofxref_daily[],2)</f>
        <v>337.84999999999997</v>
      </c>
      <c r="N84" s="493">
        <f>Tabela134[[#This Row],[CAD PRICE]]*O84</f>
        <v>0</v>
      </c>
      <c r="O84" s="62">
        <f>SUM(Tabela134[[#This Row],[RAL 1023]:[RAL 9005]])</f>
        <v>0</v>
      </c>
      <c r="P84" s="62">
        <f>Tabela134[[#This Row],[PCS]]*Tabela134[[#This Row],[Weight (kg)]]</f>
        <v>0</v>
      </c>
      <c r="Q84" s="393"/>
      <c r="R84" s="482"/>
      <c r="S84" s="486"/>
      <c r="T84" s="466"/>
      <c r="U84" s="435"/>
      <c r="V84" s="467"/>
      <c r="W84" s="468"/>
      <c r="X84" s="436"/>
      <c r="Y84" s="470"/>
      <c r="Z84" s="469"/>
      <c r="AA84" s="449"/>
      <c r="AB84" s="402"/>
      <c r="AC84" s="402"/>
      <c r="AD84" s="403"/>
      <c r="AE84" s="30"/>
      <c r="AF84" s="30"/>
      <c r="AG84" s="30"/>
    </row>
    <row r="85" spans="2:33" ht="12" customHeight="1" thickBot="1" x14ac:dyDescent="0.3">
      <c r="B85" s="29" t="s">
        <v>374</v>
      </c>
      <c r="C85" s="92" t="s">
        <v>375</v>
      </c>
      <c r="D85" s="204" t="s">
        <v>1065</v>
      </c>
      <c r="E85" s="48" t="s">
        <v>434</v>
      </c>
      <c r="F85" s="47">
        <v>11</v>
      </c>
      <c r="G85" s="224">
        <v>187</v>
      </c>
      <c r="H85" s="224">
        <f>ROUNDUP(Tabela134[[#This Row],[ OLD PRICE]]*(1+PRICES!$C$3),0)</f>
        <v>225</v>
      </c>
      <c r="I85" s="158">
        <v>0.2</v>
      </c>
      <c r="J85" s="49">
        <f>Tabela134[[#This Row],[ OLD PRICE]]*Tabela134[[#This Row],[DISCOUNT per piece '[%']]]</f>
        <v>37.4</v>
      </c>
      <c r="K85" s="49">
        <f>Tabela134[[#This Row],[ OLD PRICE]]*(1-Tabela134[[#This Row],[DISCOUNT per piece '[%']]])</f>
        <v>149.6</v>
      </c>
      <c r="L85" s="178">
        <f>Tabela134[[#This Row],[PCS]]*Tabela134[[#This Row],[PROMOTIONAL PRICE]]</f>
        <v>0</v>
      </c>
      <c r="M85" s="492" cm="1">
        <f t="array" ref="M85">ROUNDUP(Tabela134[[#This Row],[NEW PRICE]]*eurofxref_daily[],2)</f>
        <v>361.98</v>
      </c>
      <c r="N85" s="493">
        <f>Tabela134[[#This Row],[CAD PRICE]]*O85</f>
        <v>0</v>
      </c>
      <c r="O85" s="62">
        <f>SUM(Tabela134[[#This Row],[RAL 1023]:[RAL 9005]])</f>
        <v>0</v>
      </c>
      <c r="P85" s="62">
        <f>Tabela134[[#This Row],[PCS]]*Tabela134[[#This Row],[Weight (kg)]]</f>
        <v>0</v>
      </c>
      <c r="Q85" s="393"/>
      <c r="R85" s="482"/>
      <c r="S85" s="486"/>
      <c r="T85" s="466"/>
      <c r="U85" s="435"/>
      <c r="V85" s="467"/>
      <c r="W85" s="468"/>
      <c r="X85" s="436"/>
      <c r="Y85" s="470"/>
      <c r="Z85" s="469"/>
      <c r="AA85" s="449"/>
      <c r="AB85" s="402"/>
      <c r="AC85" s="402"/>
      <c r="AD85" s="403"/>
      <c r="AE85" s="30"/>
      <c r="AF85" s="30"/>
      <c r="AG85" s="30"/>
    </row>
    <row r="86" spans="2:33" ht="12" customHeight="1" thickBot="1" x14ac:dyDescent="0.3">
      <c r="B86" s="45" t="s">
        <v>376</v>
      </c>
      <c r="C86" s="92" t="s">
        <v>377</v>
      </c>
      <c r="D86" s="204" t="s">
        <v>1066</v>
      </c>
      <c r="E86" s="78" t="s">
        <v>434</v>
      </c>
      <c r="F86" s="77">
        <v>11</v>
      </c>
      <c r="G86" s="224">
        <v>187</v>
      </c>
      <c r="H86" s="224">
        <f>ROUNDUP(Tabela134[[#This Row],[ OLD PRICE]]*(1+PRICES!$C$3),0)</f>
        <v>225</v>
      </c>
      <c r="I86" s="175">
        <v>0.2</v>
      </c>
      <c r="J86" s="79">
        <f>Tabela134[[#This Row],[ OLD PRICE]]*Tabela134[[#This Row],[DISCOUNT per piece '[%']]]</f>
        <v>37.4</v>
      </c>
      <c r="K86" s="79">
        <f>Tabela134[[#This Row],[ OLD PRICE]]*(1-Tabela134[[#This Row],[DISCOUNT per piece '[%']]])</f>
        <v>149.6</v>
      </c>
      <c r="L86" s="176">
        <f>Tabela134[[#This Row],[PCS]]*Tabela134[[#This Row],[PROMOTIONAL PRICE]]</f>
        <v>0</v>
      </c>
      <c r="M86" s="492" cm="1">
        <f t="array" ref="M86">ROUNDUP(Tabela134[[#This Row],[NEW PRICE]]*eurofxref_daily[],2)</f>
        <v>361.98</v>
      </c>
      <c r="N86" s="493">
        <f>Tabela134[[#This Row],[CAD PRICE]]*O86</f>
        <v>0</v>
      </c>
      <c r="O86" s="62">
        <f>SUM(Tabela134[[#This Row],[RAL 1023]:[RAL 9005]])</f>
        <v>0</v>
      </c>
      <c r="P86" s="62">
        <f>Tabela134[[#This Row],[PCS]]*Tabela134[[#This Row],[Weight (kg)]]</f>
        <v>0</v>
      </c>
      <c r="Q86" s="393"/>
      <c r="R86" s="482"/>
      <c r="S86" s="486"/>
      <c r="T86" s="466"/>
      <c r="U86" s="435"/>
      <c r="V86" s="467"/>
      <c r="W86" s="468"/>
      <c r="X86" s="436"/>
      <c r="Y86" s="470"/>
      <c r="Z86" s="469"/>
      <c r="AA86" s="449"/>
      <c r="AB86" s="402"/>
      <c r="AC86" s="402"/>
      <c r="AD86" s="403"/>
      <c r="AE86" s="30"/>
      <c r="AF86" s="30"/>
      <c r="AG86" s="30"/>
    </row>
    <row r="87" spans="2:33" ht="12" customHeight="1" thickBot="1" x14ac:dyDescent="0.3">
      <c r="B87" s="29" t="s">
        <v>378</v>
      </c>
      <c r="C87" s="92" t="s">
        <v>379</v>
      </c>
      <c r="D87" s="204" t="s">
        <v>1067</v>
      </c>
      <c r="E87" s="48" t="s">
        <v>434</v>
      </c>
      <c r="F87" s="47">
        <v>11</v>
      </c>
      <c r="G87" s="224">
        <v>187</v>
      </c>
      <c r="H87" s="224">
        <f>ROUNDUP(Tabela134[[#This Row],[ OLD PRICE]]*(1+PRICES!$C$3),0)</f>
        <v>225</v>
      </c>
      <c r="I87" s="158">
        <v>0.2</v>
      </c>
      <c r="J87" s="49">
        <f>Tabela134[[#This Row],[ OLD PRICE]]*Tabela134[[#This Row],[DISCOUNT per piece '[%']]]</f>
        <v>37.4</v>
      </c>
      <c r="K87" s="49">
        <f>Tabela134[[#This Row],[ OLD PRICE]]*(1-Tabela134[[#This Row],[DISCOUNT per piece '[%']]])</f>
        <v>149.6</v>
      </c>
      <c r="L87" s="178">
        <f>Tabela134[[#This Row],[PCS]]*Tabela134[[#This Row],[PROMOTIONAL PRICE]]</f>
        <v>0</v>
      </c>
      <c r="M87" s="492" cm="1">
        <f t="array" ref="M87">ROUNDUP(Tabela134[[#This Row],[NEW PRICE]]*eurofxref_daily[],2)</f>
        <v>361.98</v>
      </c>
      <c r="N87" s="493">
        <f>Tabela134[[#This Row],[CAD PRICE]]*O87</f>
        <v>0</v>
      </c>
      <c r="O87" s="62">
        <f>SUM(Tabela134[[#This Row],[RAL 1023]:[RAL 9005]])</f>
        <v>0</v>
      </c>
      <c r="P87" s="62">
        <f>Tabela134[[#This Row],[PCS]]*Tabela134[[#This Row],[Weight (kg)]]</f>
        <v>0</v>
      </c>
      <c r="Q87" s="393"/>
      <c r="R87" s="482"/>
      <c r="S87" s="486"/>
      <c r="T87" s="466"/>
      <c r="U87" s="435"/>
      <c r="V87" s="467"/>
      <c r="W87" s="468"/>
      <c r="X87" s="436"/>
      <c r="Y87" s="470"/>
      <c r="Z87" s="469"/>
      <c r="AA87" s="449"/>
      <c r="AB87" s="402"/>
      <c r="AC87" s="402"/>
      <c r="AD87" s="403"/>
      <c r="AE87" s="30"/>
      <c r="AF87" s="30"/>
      <c r="AG87" s="30"/>
    </row>
    <row r="88" spans="2:33" ht="12" customHeight="1" thickBot="1" x14ac:dyDescent="0.3">
      <c r="B88" s="45" t="s">
        <v>380</v>
      </c>
      <c r="C88" s="92" t="s">
        <v>381</v>
      </c>
      <c r="D88" s="204" t="s">
        <v>1068</v>
      </c>
      <c r="E88" s="78" t="s">
        <v>434</v>
      </c>
      <c r="F88" s="77">
        <v>11</v>
      </c>
      <c r="G88" s="224">
        <v>187</v>
      </c>
      <c r="H88" s="224">
        <f>ROUNDUP(Tabela134[[#This Row],[ OLD PRICE]]*(1+PRICES!$C$3),0)</f>
        <v>225</v>
      </c>
      <c r="I88" s="175">
        <v>0.2</v>
      </c>
      <c r="J88" s="79">
        <f>Tabela134[[#This Row],[ OLD PRICE]]*Tabela134[[#This Row],[DISCOUNT per piece '[%']]]</f>
        <v>37.4</v>
      </c>
      <c r="K88" s="79">
        <f>Tabela134[[#This Row],[ OLD PRICE]]*(1-Tabela134[[#This Row],[DISCOUNT per piece '[%']]])</f>
        <v>149.6</v>
      </c>
      <c r="L88" s="176">
        <f>Tabela134[[#This Row],[PCS]]*Tabela134[[#This Row],[PROMOTIONAL PRICE]]</f>
        <v>0</v>
      </c>
      <c r="M88" s="492" cm="1">
        <f t="array" ref="M88">ROUNDUP(Tabela134[[#This Row],[NEW PRICE]]*eurofxref_daily[],2)</f>
        <v>361.98</v>
      </c>
      <c r="N88" s="493">
        <f>Tabela134[[#This Row],[CAD PRICE]]*O88</f>
        <v>0</v>
      </c>
      <c r="O88" s="62">
        <f>SUM(Tabela134[[#This Row],[RAL 1023]:[RAL 9005]])</f>
        <v>0</v>
      </c>
      <c r="P88" s="62">
        <f>Tabela134[[#This Row],[PCS]]*Tabela134[[#This Row],[Weight (kg)]]</f>
        <v>0</v>
      </c>
      <c r="Q88" s="393"/>
      <c r="R88" s="482"/>
      <c r="S88" s="486"/>
      <c r="T88" s="466"/>
      <c r="U88" s="435"/>
      <c r="V88" s="467"/>
      <c r="W88" s="468"/>
      <c r="X88" s="436"/>
      <c r="Y88" s="470"/>
      <c r="Z88" s="469"/>
      <c r="AA88" s="449"/>
      <c r="AB88" s="402"/>
      <c r="AC88" s="402"/>
      <c r="AD88" s="403"/>
      <c r="AE88" s="30"/>
      <c r="AF88" s="30"/>
      <c r="AG88" s="30"/>
    </row>
    <row r="89" spans="2:33" ht="12" customHeight="1" thickBot="1" x14ac:dyDescent="0.3">
      <c r="B89" s="29" t="s">
        <v>382</v>
      </c>
      <c r="C89" s="92" t="s">
        <v>383</v>
      </c>
      <c r="D89" s="204" t="s">
        <v>1069</v>
      </c>
      <c r="E89" s="48" t="s">
        <v>435</v>
      </c>
      <c r="F89" s="47">
        <v>11.5</v>
      </c>
      <c r="G89" s="224">
        <v>207</v>
      </c>
      <c r="H89" s="224">
        <f>ROUNDUP(Tabela134[[#This Row],[ OLD PRICE]]*(1+PRICES!$C$3),0)</f>
        <v>249</v>
      </c>
      <c r="I89" s="158">
        <v>0.2</v>
      </c>
      <c r="J89" s="49">
        <f>Tabela134[[#This Row],[ OLD PRICE]]*Tabela134[[#This Row],[DISCOUNT per piece '[%']]]</f>
        <v>41.400000000000006</v>
      </c>
      <c r="K89" s="49">
        <f>Tabela134[[#This Row],[ OLD PRICE]]*(1-Tabela134[[#This Row],[DISCOUNT per piece '[%']]])</f>
        <v>165.60000000000002</v>
      </c>
      <c r="L89" s="178">
        <f>Tabela134[[#This Row],[PCS]]*Tabela134[[#This Row],[PROMOTIONAL PRICE]]</f>
        <v>0</v>
      </c>
      <c r="M89" s="492" cm="1">
        <f t="array" ref="M89">ROUNDUP(Tabela134[[#This Row],[NEW PRICE]]*eurofxref_daily[],2)</f>
        <v>400.59999999999997</v>
      </c>
      <c r="N89" s="493">
        <f>Tabela134[[#This Row],[CAD PRICE]]*O89</f>
        <v>0</v>
      </c>
      <c r="O89" s="62">
        <f>SUM(Tabela134[[#This Row],[RAL 1023]:[RAL 9005]])</f>
        <v>0</v>
      </c>
      <c r="P89" s="62">
        <f>Tabela134[[#This Row],[PCS]]*Tabela134[[#This Row],[Weight (kg)]]</f>
        <v>0</v>
      </c>
      <c r="Q89" s="393"/>
      <c r="R89" s="482"/>
      <c r="S89" s="486"/>
      <c r="T89" s="466"/>
      <c r="U89" s="435"/>
      <c r="V89" s="467"/>
      <c r="W89" s="468"/>
      <c r="X89" s="436"/>
      <c r="Y89" s="470"/>
      <c r="Z89" s="469"/>
      <c r="AA89" s="449"/>
      <c r="AB89" s="402"/>
      <c r="AC89" s="402"/>
      <c r="AD89" s="403"/>
      <c r="AE89" s="30"/>
      <c r="AF89" s="30"/>
      <c r="AG89" s="30"/>
    </row>
    <row r="90" spans="2:33" ht="12" customHeight="1" thickBot="1" x14ac:dyDescent="0.3">
      <c r="B90" s="45" t="s">
        <v>384</v>
      </c>
      <c r="C90" s="92" t="s">
        <v>385</v>
      </c>
      <c r="D90" s="204" t="s">
        <v>1070</v>
      </c>
      <c r="E90" s="78" t="s">
        <v>435</v>
      </c>
      <c r="F90" s="77">
        <v>11.5</v>
      </c>
      <c r="G90" s="224">
        <v>207</v>
      </c>
      <c r="H90" s="224">
        <f>ROUNDUP(Tabela134[[#This Row],[ OLD PRICE]]*(1+PRICES!$C$3),0)</f>
        <v>249</v>
      </c>
      <c r="I90" s="175">
        <v>0.2</v>
      </c>
      <c r="J90" s="79">
        <f>Tabela134[[#This Row],[ OLD PRICE]]*Tabela134[[#This Row],[DISCOUNT per piece '[%']]]</f>
        <v>41.400000000000006</v>
      </c>
      <c r="K90" s="79">
        <f>Tabela134[[#This Row],[ OLD PRICE]]*(1-Tabela134[[#This Row],[DISCOUNT per piece '[%']]])</f>
        <v>165.60000000000002</v>
      </c>
      <c r="L90" s="176">
        <f>Tabela134[[#This Row],[PCS]]*Tabela134[[#This Row],[PROMOTIONAL PRICE]]</f>
        <v>0</v>
      </c>
      <c r="M90" s="492" cm="1">
        <f t="array" ref="M90">ROUNDUP(Tabela134[[#This Row],[NEW PRICE]]*eurofxref_daily[],2)</f>
        <v>400.59999999999997</v>
      </c>
      <c r="N90" s="493">
        <f>Tabela134[[#This Row],[CAD PRICE]]*O90</f>
        <v>0</v>
      </c>
      <c r="O90" s="62">
        <f>SUM(Tabela134[[#This Row],[RAL 1023]:[RAL 9005]])</f>
        <v>0</v>
      </c>
      <c r="P90" s="62">
        <f>Tabela134[[#This Row],[PCS]]*Tabela134[[#This Row],[Weight (kg)]]</f>
        <v>0</v>
      </c>
      <c r="Q90" s="393"/>
      <c r="R90" s="482"/>
      <c r="S90" s="486"/>
      <c r="T90" s="466"/>
      <c r="U90" s="435"/>
      <c r="V90" s="467"/>
      <c r="W90" s="468"/>
      <c r="X90" s="436"/>
      <c r="Y90" s="470"/>
      <c r="Z90" s="469"/>
      <c r="AA90" s="449"/>
      <c r="AB90" s="402"/>
      <c r="AC90" s="402"/>
      <c r="AD90" s="403"/>
      <c r="AE90" s="30"/>
      <c r="AF90" s="30"/>
      <c r="AG90" s="30"/>
    </row>
    <row r="91" spans="2:33" ht="12" customHeight="1" thickBot="1" x14ac:dyDescent="0.3">
      <c r="B91" s="29" t="s">
        <v>386</v>
      </c>
      <c r="C91" s="92" t="s">
        <v>387</v>
      </c>
      <c r="D91" s="204" t="s">
        <v>1071</v>
      </c>
      <c r="E91" s="48" t="s">
        <v>435</v>
      </c>
      <c r="F91" s="47">
        <v>11.5</v>
      </c>
      <c r="G91" s="224">
        <v>207</v>
      </c>
      <c r="H91" s="224">
        <f>ROUNDUP(Tabela134[[#This Row],[ OLD PRICE]]*(1+PRICES!$C$3),0)</f>
        <v>249</v>
      </c>
      <c r="I91" s="158">
        <v>0.2</v>
      </c>
      <c r="J91" s="49">
        <f>Tabela134[[#This Row],[ OLD PRICE]]*Tabela134[[#This Row],[DISCOUNT per piece '[%']]]</f>
        <v>41.400000000000006</v>
      </c>
      <c r="K91" s="49">
        <f>Tabela134[[#This Row],[ OLD PRICE]]*(1-Tabela134[[#This Row],[DISCOUNT per piece '[%']]])</f>
        <v>165.60000000000002</v>
      </c>
      <c r="L91" s="178">
        <f>Tabela134[[#This Row],[PCS]]*Tabela134[[#This Row],[PROMOTIONAL PRICE]]</f>
        <v>0</v>
      </c>
      <c r="M91" s="492" cm="1">
        <f t="array" ref="M91">ROUNDUP(Tabela134[[#This Row],[NEW PRICE]]*eurofxref_daily[],2)</f>
        <v>400.59999999999997</v>
      </c>
      <c r="N91" s="493">
        <f>Tabela134[[#This Row],[CAD PRICE]]*O91</f>
        <v>0</v>
      </c>
      <c r="O91" s="62">
        <f>SUM(Tabela134[[#This Row],[RAL 1023]:[RAL 9005]])</f>
        <v>0</v>
      </c>
      <c r="P91" s="62">
        <f>Tabela134[[#This Row],[PCS]]*Tabela134[[#This Row],[Weight (kg)]]</f>
        <v>0</v>
      </c>
      <c r="Q91" s="393"/>
      <c r="R91" s="482"/>
      <c r="S91" s="486"/>
      <c r="T91" s="466"/>
      <c r="U91" s="435"/>
      <c r="V91" s="467"/>
      <c r="W91" s="468"/>
      <c r="X91" s="436"/>
      <c r="Y91" s="470"/>
      <c r="Z91" s="469"/>
      <c r="AA91" s="449"/>
      <c r="AB91" s="402"/>
      <c r="AC91" s="402"/>
      <c r="AD91" s="403"/>
      <c r="AE91" s="30"/>
      <c r="AF91" s="30"/>
      <c r="AG91" s="30"/>
    </row>
    <row r="92" spans="2:33" ht="12" customHeight="1" thickBot="1" x14ac:dyDescent="0.3">
      <c r="B92" s="45" t="s">
        <v>388</v>
      </c>
      <c r="C92" s="92" t="s">
        <v>389</v>
      </c>
      <c r="D92" s="204" t="s">
        <v>1072</v>
      </c>
      <c r="E92" s="78" t="s">
        <v>435</v>
      </c>
      <c r="F92" s="77">
        <v>11.5</v>
      </c>
      <c r="G92" s="224">
        <v>207</v>
      </c>
      <c r="H92" s="224">
        <f>ROUNDUP(Tabela134[[#This Row],[ OLD PRICE]]*(1+PRICES!$C$3),0)</f>
        <v>249</v>
      </c>
      <c r="I92" s="175">
        <v>0.2</v>
      </c>
      <c r="J92" s="79">
        <f>Tabela134[[#This Row],[ OLD PRICE]]*Tabela134[[#This Row],[DISCOUNT per piece '[%']]]</f>
        <v>41.400000000000006</v>
      </c>
      <c r="K92" s="79">
        <f>Tabela134[[#This Row],[ OLD PRICE]]*(1-Tabela134[[#This Row],[DISCOUNT per piece '[%']]])</f>
        <v>165.60000000000002</v>
      </c>
      <c r="L92" s="176">
        <f>Tabela134[[#This Row],[PCS]]*Tabela134[[#This Row],[PROMOTIONAL PRICE]]</f>
        <v>0</v>
      </c>
      <c r="M92" s="492" cm="1">
        <f t="array" ref="M92">ROUNDUP(Tabela134[[#This Row],[NEW PRICE]]*eurofxref_daily[],2)</f>
        <v>400.59999999999997</v>
      </c>
      <c r="N92" s="493">
        <f>Tabela134[[#This Row],[CAD PRICE]]*O92</f>
        <v>0</v>
      </c>
      <c r="O92" s="62">
        <f>SUM(Tabela134[[#This Row],[RAL 1023]:[RAL 9005]])</f>
        <v>0</v>
      </c>
      <c r="P92" s="62">
        <f>Tabela134[[#This Row],[PCS]]*Tabela134[[#This Row],[Weight (kg)]]</f>
        <v>0</v>
      </c>
      <c r="Q92" s="393"/>
      <c r="R92" s="482"/>
      <c r="S92" s="486"/>
      <c r="T92" s="466"/>
      <c r="U92" s="435"/>
      <c r="V92" s="467"/>
      <c r="W92" s="468"/>
      <c r="X92" s="436"/>
      <c r="Y92" s="470"/>
      <c r="Z92" s="469"/>
      <c r="AA92" s="449"/>
      <c r="AB92" s="402"/>
      <c r="AC92" s="402"/>
      <c r="AD92" s="403"/>
      <c r="AE92" s="30"/>
      <c r="AF92" s="30"/>
      <c r="AG92" s="30"/>
    </row>
    <row r="93" spans="2:33" ht="12" customHeight="1" thickBot="1" x14ac:dyDescent="0.3">
      <c r="C93" s="125" t="s">
        <v>1636</v>
      </c>
      <c r="D93" s="126"/>
      <c r="E93" s="124"/>
      <c r="F93" s="124"/>
      <c r="G93" s="358"/>
      <c r="H93" s="124"/>
      <c r="I93" s="124"/>
      <c r="J93" s="124"/>
      <c r="K93" s="124"/>
      <c r="L93" s="124"/>
      <c r="M93" s="124"/>
      <c r="N93" s="124"/>
      <c r="O93" s="124"/>
      <c r="P93" s="124"/>
      <c r="Q93" s="401"/>
      <c r="R93" s="80"/>
      <c r="S93" s="80"/>
      <c r="T93" s="80"/>
      <c r="U93" s="80"/>
      <c r="V93" s="80"/>
      <c r="W93" s="80"/>
      <c r="X93" s="80"/>
      <c r="Y93" s="80"/>
      <c r="Z93" s="457"/>
      <c r="AA93" s="457"/>
      <c r="AB93" s="202"/>
      <c r="AC93" s="202"/>
      <c r="AD93" s="201"/>
    </row>
    <row r="94" spans="2:33" ht="13.5" customHeight="1" thickBot="1" x14ac:dyDescent="0.3">
      <c r="C94" s="92" t="s">
        <v>1637</v>
      </c>
      <c r="D94" s="255" t="s">
        <v>1639</v>
      </c>
      <c r="E94" s="78" t="s">
        <v>1693</v>
      </c>
      <c r="F94" s="47">
        <v>6.5</v>
      </c>
      <c r="G94" s="224">
        <v>721</v>
      </c>
      <c r="H94" s="224">
        <f>ROUNDUP(Tabela134[[#This Row],[ OLD PRICE]]*(1+PRICES!$C$3),0)</f>
        <v>866</v>
      </c>
      <c r="I94" s="79">
        <v>0.2</v>
      </c>
      <c r="J94" s="79">
        <f>Tabela134[[#This Row],[ OLD PRICE]]*Tabela134[[#This Row],[DISCOUNT per piece '[%']]]</f>
        <v>144.20000000000002</v>
      </c>
      <c r="K94" s="79">
        <f>Tabela134[[#This Row],[ OLD PRICE]]*(1-Tabela134[[#This Row],[DISCOUNT per piece '[%']]])</f>
        <v>576.80000000000007</v>
      </c>
      <c r="L94" s="79">
        <f>Tabela134[[#This Row],[PCS]]*Tabela134[[#This Row],[PROMOTIONAL PRICE]]</f>
        <v>0</v>
      </c>
      <c r="M94" s="492" cm="1">
        <f t="array" ref="M94">ROUNDUP(Tabela134[[#This Row],[NEW PRICE]]*eurofxref_daily[],2)</f>
        <v>1393.23</v>
      </c>
      <c r="N94" s="493">
        <f>Tabela134[[#This Row],[CAD PRICE]]*O94</f>
        <v>0</v>
      </c>
      <c r="O94" s="127">
        <f>SUM(Tabela134[[#This Row],[RAL 1023]:[Clear Wood]])</f>
        <v>0</v>
      </c>
      <c r="P94" s="128">
        <f>Tabela134[[#This Row],[PCS]]*Tabela134[[#This Row],[Weight (kg)]]</f>
        <v>0</v>
      </c>
      <c r="Q94" s="395" t="s">
        <v>2067</v>
      </c>
      <c r="R94" s="482"/>
      <c r="S94" s="486"/>
      <c r="T94" s="466"/>
      <c r="U94" s="435"/>
      <c r="V94" s="467"/>
      <c r="W94" s="468"/>
      <c r="X94" s="436"/>
      <c r="Y94" s="470"/>
      <c r="Z94" s="469"/>
      <c r="AA94" s="449"/>
      <c r="AB94" s="334"/>
      <c r="AC94" s="334"/>
      <c r="AD94" s="340"/>
    </row>
    <row r="95" spans="2:33" ht="13.5" customHeight="1" thickBot="1" x14ac:dyDescent="0.3">
      <c r="C95" s="92" t="s">
        <v>1638</v>
      </c>
      <c r="D95" s="255" t="s">
        <v>1656</v>
      </c>
      <c r="E95" s="78" t="s">
        <v>1694</v>
      </c>
      <c r="F95" s="47">
        <v>6.5</v>
      </c>
      <c r="G95" s="224">
        <v>371</v>
      </c>
      <c r="H95" s="224">
        <f>ROUNDUP(Tabela134[[#This Row],[ OLD PRICE]]*(1+PRICES!$C$3),0)</f>
        <v>446</v>
      </c>
      <c r="I95" s="79">
        <v>0.2</v>
      </c>
      <c r="J95" s="79">
        <f>Tabela134[[#This Row],[ OLD PRICE]]*Tabela134[[#This Row],[DISCOUNT per piece '[%']]]</f>
        <v>74.2</v>
      </c>
      <c r="K95" s="79">
        <f>Tabela134[[#This Row],[ OLD PRICE]]*(1-Tabela134[[#This Row],[DISCOUNT per piece '[%']]])</f>
        <v>296.8</v>
      </c>
      <c r="L95" s="79">
        <f>Tabela134[[#This Row],[PCS]]*Tabela134[[#This Row],[PROMOTIONAL PRICE]]</f>
        <v>0</v>
      </c>
      <c r="M95" s="492" cm="1">
        <f t="array" ref="M95">ROUNDUP(Tabela134[[#This Row],[NEW PRICE]]*eurofxref_daily[],2)</f>
        <v>717.53</v>
      </c>
      <c r="N95" s="493">
        <f>Tabela134[[#This Row],[CAD PRICE]]*O95</f>
        <v>0</v>
      </c>
      <c r="O95" s="127">
        <f>SUM(Tabela134[[#This Row],[RAL 1023]:[Clear Wood]])</f>
        <v>0</v>
      </c>
      <c r="P95" s="128">
        <f>Tabela134[[#This Row],[PCS]]*Tabela134[[#This Row],[Weight (kg)]]</f>
        <v>0</v>
      </c>
      <c r="Q95" s="395" t="s">
        <v>2067</v>
      </c>
      <c r="R95" s="482"/>
      <c r="S95" s="486"/>
      <c r="T95" s="466"/>
      <c r="U95" s="435"/>
      <c r="V95" s="467"/>
      <c r="W95" s="468"/>
      <c r="X95" s="436"/>
      <c r="Y95" s="470"/>
      <c r="Z95" s="469"/>
      <c r="AA95" s="449"/>
      <c r="AB95" s="334"/>
      <c r="AC95" s="334"/>
      <c r="AD95" s="340"/>
    </row>
    <row r="96" spans="2:33" ht="13.5" customHeight="1" thickBot="1" x14ac:dyDescent="0.3">
      <c r="C96" s="109" t="s">
        <v>1640</v>
      </c>
      <c r="D96" s="255" t="s">
        <v>1657</v>
      </c>
      <c r="E96" s="78" t="s">
        <v>1695</v>
      </c>
      <c r="F96" s="47">
        <v>6.5</v>
      </c>
      <c r="G96" s="224">
        <v>265</v>
      </c>
      <c r="H96" s="224">
        <f>ROUNDUP(Tabela134[[#This Row],[ OLD PRICE]]*(1+PRICES!$C$3),0)</f>
        <v>318</v>
      </c>
      <c r="I96" s="79">
        <v>0.2</v>
      </c>
      <c r="J96" s="79">
        <f>Tabela134[[#This Row],[ OLD PRICE]]*Tabela134[[#This Row],[DISCOUNT per piece '[%']]]</f>
        <v>53</v>
      </c>
      <c r="K96" s="79">
        <f>Tabela134[[#This Row],[ OLD PRICE]]*(1-Tabela134[[#This Row],[DISCOUNT per piece '[%']]])</f>
        <v>212</v>
      </c>
      <c r="L96" s="79">
        <f>Tabela134[[#This Row],[PCS]]*Tabela134[[#This Row],[PROMOTIONAL PRICE]]</f>
        <v>0</v>
      </c>
      <c r="M96" s="492" cm="1">
        <f t="array" ref="M96">ROUNDUP(Tabela134[[#This Row],[NEW PRICE]]*eurofxref_daily[],2)</f>
        <v>511.59999999999997</v>
      </c>
      <c r="N96" s="493">
        <f>Tabela134[[#This Row],[CAD PRICE]]*O96</f>
        <v>0</v>
      </c>
      <c r="O96" s="127">
        <f>SUM(Tabela134[[#This Row],[RAL 1023]:[Clear Wood]])</f>
        <v>0</v>
      </c>
      <c r="P96" s="128">
        <f>Tabela134[[#This Row],[PCS]]*Tabela134[[#This Row],[Weight (kg)]]</f>
        <v>0</v>
      </c>
      <c r="Q96" s="395" t="s">
        <v>2067</v>
      </c>
      <c r="R96" s="482"/>
      <c r="S96" s="486"/>
      <c r="T96" s="466"/>
      <c r="U96" s="435"/>
      <c r="V96" s="467"/>
      <c r="W96" s="468"/>
      <c r="X96" s="436"/>
      <c r="Y96" s="470"/>
      <c r="Z96" s="469"/>
      <c r="AA96" s="449"/>
      <c r="AB96" s="334"/>
      <c r="AC96" s="334"/>
      <c r="AD96" s="340"/>
    </row>
    <row r="97" spans="1:30" ht="13.5" customHeight="1" thickBot="1" x14ac:dyDescent="0.3">
      <c r="C97" s="109" t="s">
        <v>1641</v>
      </c>
      <c r="D97" s="255" t="s">
        <v>1658</v>
      </c>
      <c r="E97" s="78" t="s">
        <v>1696</v>
      </c>
      <c r="F97" s="47">
        <v>6.5</v>
      </c>
      <c r="G97" s="224">
        <v>223</v>
      </c>
      <c r="H97" s="224">
        <f>ROUNDUP(Tabela134[[#This Row],[ OLD PRICE]]*(1+PRICES!$C$3),0)</f>
        <v>268</v>
      </c>
      <c r="I97" s="79">
        <v>0.2</v>
      </c>
      <c r="J97" s="79">
        <f>Tabela134[[#This Row],[ OLD PRICE]]*Tabela134[[#This Row],[DISCOUNT per piece '[%']]]</f>
        <v>44.6</v>
      </c>
      <c r="K97" s="79">
        <f>Tabela134[[#This Row],[ OLD PRICE]]*(1-Tabela134[[#This Row],[DISCOUNT per piece '[%']]])</f>
        <v>178.4</v>
      </c>
      <c r="L97" s="79">
        <f>Tabela134[[#This Row],[PCS]]*Tabela134[[#This Row],[PROMOTIONAL PRICE]]</f>
        <v>0</v>
      </c>
      <c r="M97" s="492" cm="1">
        <f t="array" ref="M97">ROUNDUP(Tabela134[[#This Row],[NEW PRICE]]*eurofxref_daily[],2)</f>
        <v>431.15999999999997</v>
      </c>
      <c r="N97" s="493">
        <f>Tabela134[[#This Row],[CAD PRICE]]*O97</f>
        <v>0</v>
      </c>
      <c r="O97" s="127">
        <f>SUM(Tabela134[[#This Row],[RAL 1023]:[Clear Wood]])</f>
        <v>0</v>
      </c>
      <c r="P97" s="128">
        <f>Tabela134[[#This Row],[PCS]]*Tabela134[[#This Row],[Weight (kg)]]</f>
        <v>0</v>
      </c>
      <c r="Q97" s="395" t="s">
        <v>2067</v>
      </c>
      <c r="R97" s="482"/>
      <c r="S97" s="486"/>
      <c r="T97" s="466"/>
      <c r="U97" s="435"/>
      <c r="V97" s="467"/>
      <c r="W97" s="468"/>
      <c r="X97" s="436"/>
      <c r="Y97" s="470"/>
      <c r="Z97" s="469"/>
      <c r="AA97" s="449"/>
      <c r="AB97" s="334"/>
      <c r="AC97" s="334"/>
      <c r="AD97" s="340"/>
    </row>
    <row r="98" spans="1:30" ht="13.5" customHeight="1" thickBot="1" x14ac:dyDescent="0.3">
      <c r="C98" s="109" t="s">
        <v>1642</v>
      </c>
      <c r="D98" s="255" t="s">
        <v>1659</v>
      </c>
      <c r="E98" s="78" t="s">
        <v>1697</v>
      </c>
      <c r="F98" s="47">
        <v>7.5</v>
      </c>
      <c r="G98" s="224">
        <v>265</v>
      </c>
      <c r="H98" s="224">
        <f>ROUNDUP(Tabela134[[#This Row],[ OLD PRICE]]*(1+PRICES!$C$3),0)</f>
        <v>318</v>
      </c>
      <c r="I98" s="79">
        <v>0.2</v>
      </c>
      <c r="J98" s="79">
        <f>Tabela134[[#This Row],[ OLD PRICE]]*Tabela134[[#This Row],[DISCOUNT per piece '[%']]]</f>
        <v>53</v>
      </c>
      <c r="K98" s="79">
        <f>Tabela134[[#This Row],[ OLD PRICE]]*(1-Tabela134[[#This Row],[DISCOUNT per piece '[%']]])</f>
        <v>212</v>
      </c>
      <c r="L98" s="79">
        <f>Tabela134[[#This Row],[PCS]]*Tabela134[[#This Row],[PROMOTIONAL PRICE]]</f>
        <v>0</v>
      </c>
      <c r="M98" s="492" cm="1">
        <f t="array" ref="M98">ROUNDUP(Tabela134[[#This Row],[NEW PRICE]]*eurofxref_daily[],2)</f>
        <v>511.59999999999997</v>
      </c>
      <c r="N98" s="493">
        <f>Tabela134[[#This Row],[CAD PRICE]]*O98</f>
        <v>0</v>
      </c>
      <c r="O98" s="127">
        <f>SUM(Tabela134[[#This Row],[RAL 1023]:[Clear Wood]])</f>
        <v>0</v>
      </c>
      <c r="P98" s="128">
        <f>Tabela134[[#This Row],[PCS]]*Tabela134[[#This Row],[Weight (kg)]]</f>
        <v>0</v>
      </c>
      <c r="Q98" s="395" t="s">
        <v>2067</v>
      </c>
      <c r="R98" s="482"/>
      <c r="S98" s="486"/>
      <c r="T98" s="466"/>
      <c r="U98" s="435"/>
      <c r="V98" s="467"/>
      <c r="W98" s="468"/>
      <c r="X98" s="436"/>
      <c r="Y98" s="470"/>
      <c r="Z98" s="469"/>
      <c r="AA98" s="449"/>
      <c r="AB98" s="334"/>
      <c r="AC98" s="334"/>
      <c r="AD98" s="340"/>
    </row>
    <row r="99" spans="1:30" ht="13.5" customHeight="1" thickBot="1" x14ac:dyDescent="0.3">
      <c r="C99" s="109" t="s">
        <v>1643</v>
      </c>
      <c r="D99" s="255" t="s">
        <v>1660</v>
      </c>
      <c r="E99" s="78" t="s">
        <v>1698</v>
      </c>
      <c r="F99" s="47">
        <v>7.5</v>
      </c>
      <c r="G99" s="224">
        <v>212</v>
      </c>
      <c r="H99" s="224">
        <f>ROUNDUP(Tabela134[[#This Row],[ OLD PRICE]]*(1+PRICES!$C$3),0)</f>
        <v>255</v>
      </c>
      <c r="I99" s="79">
        <v>0.2</v>
      </c>
      <c r="J99" s="79">
        <f>Tabela134[[#This Row],[ OLD PRICE]]*Tabela134[[#This Row],[DISCOUNT per piece '[%']]]</f>
        <v>42.400000000000006</v>
      </c>
      <c r="K99" s="79">
        <f>Tabela134[[#This Row],[ OLD PRICE]]*(1-Tabela134[[#This Row],[DISCOUNT per piece '[%']]])</f>
        <v>169.60000000000002</v>
      </c>
      <c r="L99" s="79">
        <f>Tabela134[[#This Row],[PCS]]*Tabela134[[#This Row],[PROMOTIONAL PRICE]]</f>
        <v>0</v>
      </c>
      <c r="M99" s="492" cm="1">
        <f t="array" ref="M99">ROUNDUP(Tabela134[[#This Row],[NEW PRICE]]*eurofxref_daily[],2)</f>
        <v>410.25</v>
      </c>
      <c r="N99" s="493">
        <f>Tabela134[[#This Row],[CAD PRICE]]*O99</f>
        <v>0</v>
      </c>
      <c r="O99" s="127">
        <f>SUM(Tabela134[[#This Row],[RAL 1023]:[Clear Wood]])</f>
        <v>0</v>
      </c>
      <c r="P99" s="128">
        <f>Tabela134[[#This Row],[PCS]]*Tabela134[[#This Row],[Weight (kg)]]</f>
        <v>0</v>
      </c>
      <c r="Q99" s="395" t="s">
        <v>2067</v>
      </c>
      <c r="R99" s="482"/>
      <c r="S99" s="486"/>
      <c r="T99" s="466"/>
      <c r="U99" s="435"/>
      <c r="V99" s="467"/>
      <c r="W99" s="468"/>
      <c r="X99" s="436"/>
      <c r="Y99" s="470"/>
      <c r="Z99" s="469"/>
      <c r="AA99" s="449"/>
      <c r="AB99" s="334"/>
      <c r="AC99" s="334"/>
      <c r="AD99" s="340"/>
    </row>
    <row r="100" spans="1:30" ht="13.5" customHeight="1" thickBot="1" x14ac:dyDescent="0.3">
      <c r="C100" s="109" t="s">
        <v>1644</v>
      </c>
      <c r="D100" s="255" t="s">
        <v>1661</v>
      </c>
      <c r="E100" s="78" t="s">
        <v>1699</v>
      </c>
      <c r="F100" s="47">
        <v>7.5</v>
      </c>
      <c r="G100" s="224">
        <v>350</v>
      </c>
      <c r="H100" s="224">
        <f>ROUNDUP(Tabela134[[#This Row],[ OLD PRICE]]*(1+PRICES!$C$3),0)</f>
        <v>420</v>
      </c>
      <c r="I100" s="79">
        <v>0.2</v>
      </c>
      <c r="J100" s="79">
        <f>Tabela134[[#This Row],[ OLD PRICE]]*Tabela134[[#This Row],[DISCOUNT per piece '[%']]]</f>
        <v>70</v>
      </c>
      <c r="K100" s="79">
        <f>Tabela134[[#This Row],[ OLD PRICE]]*(1-Tabela134[[#This Row],[DISCOUNT per piece '[%']]])</f>
        <v>280</v>
      </c>
      <c r="L100" s="79">
        <f>Tabela134[[#This Row],[PCS]]*Tabela134[[#This Row],[PROMOTIONAL PRICE]]</f>
        <v>0</v>
      </c>
      <c r="M100" s="492" cm="1">
        <f t="array" ref="M100">ROUNDUP(Tabela134[[#This Row],[NEW PRICE]]*eurofxref_daily[],2)</f>
        <v>675.7</v>
      </c>
      <c r="N100" s="493">
        <f>Tabela134[[#This Row],[CAD PRICE]]*O100</f>
        <v>0</v>
      </c>
      <c r="O100" s="127">
        <f>SUM(Tabela134[[#This Row],[RAL 1023]:[Clear Wood]])</f>
        <v>0</v>
      </c>
      <c r="P100" s="128">
        <f>Tabela134[[#This Row],[PCS]]*Tabela134[[#This Row],[Weight (kg)]]</f>
        <v>0</v>
      </c>
      <c r="Q100" s="395" t="s">
        <v>2067</v>
      </c>
      <c r="R100" s="482"/>
      <c r="S100" s="486"/>
      <c r="T100" s="466"/>
      <c r="U100" s="435"/>
      <c r="V100" s="467"/>
      <c r="W100" s="468"/>
      <c r="X100" s="436"/>
      <c r="Y100" s="470"/>
      <c r="Z100" s="469"/>
      <c r="AA100" s="449"/>
      <c r="AB100" s="334"/>
      <c r="AC100" s="334"/>
      <c r="AD100" s="340"/>
    </row>
    <row r="101" spans="1:30" ht="13.5" customHeight="1" thickBot="1" x14ac:dyDescent="0.3">
      <c r="C101" s="109" t="s">
        <v>1645</v>
      </c>
      <c r="D101" s="255" t="s">
        <v>1662</v>
      </c>
      <c r="E101" s="78" t="s">
        <v>1700</v>
      </c>
      <c r="F101" s="47">
        <v>7.5</v>
      </c>
      <c r="G101" s="224">
        <v>212</v>
      </c>
      <c r="H101" s="224">
        <f>ROUNDUP(Tabela134[[#This Row],[ OLD PRICE]]*(1+PRICES!$C$3),0)</f>
        <v>255</v>
      </c>
      <c r="I101" s="79">
        <v>0.2</v>
      </c>
      <c r="J101" s="79">
        <f>Tabela134[[#This Row],[ OLD PRICE]]*Tabela134[[#This Row],[DISCOUNT per piece '[%']]]</f>
        <v>42.400000000000006</v>
      </c>
      <c r="K101" s="79">
        <f>Tabela134[[#This Row],[ OLD PRICE]]*(1-Tabela134[[#This Row],[DISCOUNT per piece '[%']]])</f>
        <v>169.60000000000002</v>
      </c>
      <c r="L101" s="79">
        <f>Tabela134[[#This Row],[PCS]]*Tabela134[[#This Row],[PROMOTIONAL PRICE]]</f>
        <v>0</v>
      </c>
      <c r="M101" s="492" cm="1">
        <f t="array" ref="M101">ROUNDUP(Tabela134[[#This Row],[NEW PRICE]]*eurofxref_daily[],2)</f>
        <v>410.25</v>
      </c>
      <c r="N101" s="493">
        <f>Tabela134[[#This Row],[CAD PRICE]]*O101</f>
        <v>0</v>
      </c>
      <c r="O101" s="127">
        <f>SUM(Tabela134[[#This Row],[RAL 1023]:[Clear Wood]])</f>
        <v>0</v>
      </c>
      <c r="P101" s="128">
        <f>Tabela134[[#This Row],[PCS]]*Tabela134[[#This Row],[Weight (kg)]]</f>
        <v>0</v>
      </c>
      <c r="Q101" s="395" t="s">
        <v>2067</v>
      </c>
      <c r="R101" s="482"/>
      <c r="S101" s="486"/>
      <c r="T101" s="466"/>
      <c r="U101" s="435"/>
      <c r="V101" s="467"/>
      <c r="W101" s="468"/>
      <c r="X101" s="436"/>
      <c r="Y101" s="470"/>
      <c r="Z101" s="469"/>
      <c r="AA101" s="449"/>
      <c r="AB101" s="334"/>
      <c r="AC101" s="334"/>
      <c r="AD101" s="340"/>
    </row>
    <row r="102" spans="1:30" ht="13.5" customHeight="1" thickBot="1" x14ac:dyDescent="0.3">
      <c r="C102" s="109" t="s">
        <v>1646</v>
      </c>
      <c r="D102" s="255" t="s">
        <v>1663</v>
      </c>
      <c r="E102" s="78" t="s">
        <v>1701</v>
      </c>
      <c r="F102" s="47">
        <v>8</v>
      </c>
      <c r="G102" s="224">
        <v>181</v>
      </c>
      <c r="H102" s="224">
        <f>ROUNDUP(Tabela134[[#This Row],[ OLD PRICE]]*(1+PRICES!$C$3),0)</f>
        <v>218</v>
      </c>
      <c r="I102" s="79">
        <v>0.2</v>
      </c>
      <c r="J102" s="79">
        <f>Tabela134[[#This Row],[ OLD PRICE]]*Tabela134[[#This Row],[DISCOUNT per piece '[%']]]</f>
        <v>36.200000000000003</v>
      </c>
      <c r="K102" s="79">
        <f>Tabela134[[#This Row],[ OLD PRICE]]*(1-Tabela134[[#This Row],[DISCOUNT per piece '[%']]])</f>
        <v>144.80000000000001</v>
      </c>
      <c r="L102" s="79">
        <f>Tabela134[[#This Row],[PCS]]*Tabela134[[#This Row],[PROMOTIONAL PRICE]]</f>
        <v>0</v>
      </c>
      <c r="M102" s="492" cm="1">
        <f t="array" ref="M102">ROUNDUP(Tabela134[[#This Row],[NEW PRICE]]*eurofxref_daily[],2)</f>
        <v>350.71999999999997</v>
      </c>
      <c r="N102" s="493">
        <f>Tabela134[[#This Row],[CAD PRICE]]*O102</f>
        <v>0</v>
      </c>
      <c r="O102" s="127">
        <f>SUM(Tabela134[[#This Row],[RAL 1023]:[Clear Wood]])</f>
        <v>0</v>
      </c>
      <c r="P102" s="128">
        <f>Tabela134[[#This Row],[PCS]]*Tabela134[[#This Row],[Weight (kg)]]</f>
        <v>0</v>
      </c>
      <c r="Q102" s="395" t="s">
        <v>2067</v>
      </c>
      <c r="R102" s="482"/>
      <c r="S102" s="486"/>
      <c r="T102" s="466"/>
      <c r="U102" s="435"/>
      <c r="V102" s="467"/>
      <c r="W102" s="468"/>
      <c r="X102" s="436"/>
      <c r="Y102" s="470"/>
      <c r="Z102" s="469"/>
      <c r="AA102" s="449"/>
      <c r="AB102" s="334"/>
      <c r="AC102" s="334"/>
      <c r="AD102" s="340"/>
    </row>
    <row r="103" spans="1:30" ht="13.5" customHeight="1" thickBot="1" x14ac:dyDescent="0.3">
      <c r="C103" s="92" t="s">
        <v>1647</v>
      </c>
      <c r="D103" s="255" t="s">
        <v>1664</v>
      </c>
      <c r="E103" s="78" t="s">
        <v>1707</v>
      </c>
      <c r="F103" s="47">
        <v>8</v>
      </c>
      <c r="G103" s="224">
        <v>265</v>
      </c>
      <c r="H103" s="224">
        <f>ROUNDUP(Tabela134[[#This Row],[ OLD PRICE]]*(1+PRICES!$C$3),0)</f>
        <v>318</v>
      </c>
      <c r="I103" s="79">
        <v>0.2</v>
      </c>
      <c r="J103" s="79">
        <f>Tabela134[[#This Row],[ OLD PRICE]]*Tabela134[[#This Row],[DISCOUNT per piece '[%']]]</f>
        <v>53</v>
      </c>
      <c r="K103" s="79">
        <f>Tabela134[[#This Row],[ OLD PRICE]]*(1-Tabela134[[#This Row],[DISCOUNT per piece '[%']]])</f>
        <v>212</v>
      </c>
      <c r="L103" s="79">
        <f>Tabela134[[#This Row],[PCS]]*Tabela134[[#This Row],[PROMOTIONAL PRICE]]</f>
        <v>0</v>
      </c>
      <c r="M103" s="492" cm="1">
        <f t="array" ref="M103">ROUNDUP(Tabela134[[#This Row],[NEW PRICE]]*eurofxref_daily[],2)</f>
        <v>511.59999999999997</v>
      </c>
      <c r="N103" s="493">
        <f>Tabela134[[#This Row],[CAD PRICE]]*O103</f>
        <v>0</v>
      </c>
      <c r="O103" s="127">
        <f>SUM(Tabela134[[#This Row],[RAL 1023]:[Clear Wood]])</f>
        <v>0</v>
      </c>
      <c r="P103" s="128">
        <f>Tabela134[[#This Row],[PCS]]*Tabela134[[#This Row],[Weight (kg)]]</f>
        <v>0</v>
      </c>
      <c r="Q103" s="395" t="s">
        <v>2067</v>
      </c>
      <c r="R103" s="482"/>
      <c r="S103" s="486"/>
      <c r="T103" s="466"/>
      <c r="U103" s="435"/>
      <c r="V103" s="467"/>
      <c r="W103" s="468"/>
      <c r="X103" s="436"/>
      <c r="Y103" s="470"/>
      <c r="Z103" s="469"/>
      <c r="AA103" s="449"/>
      <c r="AB103" s="334"/>
      <c r="AC103" s="334"/>
      <c r="AD103" s="340"/>
    </row>
    <row r="104" spans="1:30" ht="13.5" customHeight="1" thickBot="1" x14ac:dyDescent="0.3">
      <c r="C104" s="92" t="s">
        <v>1648</v>
      </c>
      <c r="D104" s="255" t="s">
        <v>1665</v>
      </c>
      <c r="E104" s="78" t="s">
        <v>1702</v>
      </c>
      <c r="F104" s="47">
        <v>8</v>
      </c>
      <c r="G104" s="224">
        <v>530</v>
      </c>
      <c r="H104" s="224">
        <f>ROUNDUP(Tabela134[[#This Row],[ OLD PRICE]]*(1+PRICES!$C$3),0)</f>
        <v>636</v>
      </c>
      <c r="I104" s="79">
        <v>0.2</v>
      </c>
      <c r="J104" s="79">
        <f>Tabela134[[#This Row],[ OLD PRICE]]*Tabela134[[#This Row],[DISCOUNT per piece '[%']]]</f>
        <v>106</v>
      </c>
      <c r="K104" s="79">
        <f>Tabela134[[#This Row],[ OLD PRICE]]*(1-Tabela134[[#This Row],[DISCOUNT per piece '[%']]])</f>
        <v>424</v>
      </c>
      <c r="L104" s="79">
        <f>Tabela134[[#This Row],[PCS]]*Tabela134[[#This Row],[PROMOTIONAL PRICE]]</f>
        <v>0</v>
      </c>
      <c r="M104" s="492" cm="1">
        <f t="array" ref="M104">ROUNDUP(Tabela134[[#This Row],[NEW PRICE]]*eurofxref_daily[],2)</f>
        <v>1023.2</v>
      </c>
      <c r="N104" s="493">
        <f>Tabela134[[#This Row],[CAD PRICE]]*O104</f>
        <v>0</v>
      </c>
      <c r="O104" s="127">
        <f>SUM(Tabela134[[#This Row],[RAL 1023]:[Clear Wood]])</f>
        <v>0</v>
      </c>
      <c r="P104" s="128">
        <f>Tabela134[[#This Row],[PCS]]*Tabela134[[#This Row],[Weight (kg)]]</f>
        <v>0</v>
      </c>
      <c r="Q104" s="395" t="s">
        <v>2067</v>
      </c>
      <c r="R104" s="482"/>
      <c r="S104" s="486"/>
      <c r="T104" s="466"/>
      <c r="U104" s="435"/>
      <c r="V104" s="467"/>
      <c r="W104" s="468"/>
      <c r="X104" s="436"/>
      <c r="Y104" s="470"/>
      <c r="Z104" s="469"/>
      <c r="AA104" s="449"/>
      <c r="AB104" s="334"/>
      <c r="AC104" s="334"/>
      <c r="AD104" s="340"/>
    </row>
    <row r="105" spans="1:30" ht="13.5" customHeight="1" thickBot="1" x14ac:dyDescent="0.3">
      <c r="C105" s="92" t="s">
        <v>1649</v>
      </c>
      <c r="D105" s="255" t="s">
        <v>1666</v>
      </c>
      <c r="E105" s="78" t="s">
        <v>1707</v>
      </c>
      <c r="F105" s="47">
        <v>8</v>
      </c>
      <c r="G105" s="224">
        <v>265</v>
      </c>
      <c r="H105" s="224">
        <f>ROUNDUP(Tabela134[[#This Row],[ OLD PRICE]]*(1+PRICES!$C$3),0)</f>
        <v>318</v>
      </c>
      <c r="I105" s="79">
        <v>0.2</v>
      </c>
      <c r="J105" s="79">
        <f>Tabela134[[#This Row],[ OLD PRICE]]*Tabela134[[#This Row],[DISCOUNT per piece '[%']]]</f>
        <v>53</v>
      </c>
      <c r="K105" s="79">
        <f>Tabela134[[#This Row],[ OLD PRICE]]*(1-Tabela134[[#This Row],[DISCOUNT per piece '[%']]])</f>
        <v>212</v>
      </c>
      <c r="L105" s="79">
        <f>Tabela134[[#This Row],[PCS]]*Tabela134[[#This Row],[PROMOTIONAL PRICE]]</f>
        <v>0</v>
      </c>
      <c r="M105" s="492" cm="1">
        <f t="array" ref="M105">ROUNDUP(Tabela134[[#This Row],[NEW PRICE]]*eurofxref_daily[],2)</f>
        <v>511.59999999999997</v>
      </c>
      <c r="N105" s="493">
        <f>Tabela134[[#This Row],[CAD PRICE]]*O105</f>
        <v>0</v>
      </c>
      <c r="O105" s="127">
        <f>SUM(Tabela134[[#This Row],[RAL 1023]:[Clear Wood]])</f>
        <v>0</v>
      </c>
      <c r="P105" s="128">
        <f>Tabela134[[#This Row],[PCS]]*Tabela134[[#This Row],[Weight (kg)]]</f>
        <v>0</v>
      </c>
      <c r="Q105" s="395" t="s">
        <v>2067</v>
      </c>
      <c r="R105" s="482"/>
      <c r="S105" s="486"/>
      <c r="T105" s="466"/>
      <c r="U105" s="435"/>
      <c r="V105" s="467"/>
      <c r="W105" s="468"/>
      <c r="X105" s="436"/>
      <c r="Y105" s="470"/>
      <c r="Z105" s="469"/>
      <c r="AA105" s="449"/>
      <c r="AB105" s="334"/>
      <c r="AC105" s="334"/>
      <c r="AD105" s="340"/>
    </row>
    <row r="106" spans="1:30" ht="13.5" customHeight="1" thickBot="1" x14ac:dyDescent="0.3">
      <c r="C106" s="92" t="s">
        <v>1650</v>
      </c>
      <c r="D106" s="255" t="s">
        <v>1667</v>
      </c>
      <c r="E106" s="78" t="s">
        <v>1703</v>
      </c>
      <c r="F106" s="47">
        <v>9</v>
      </c>
      <c r="G106" s="224">
        <v>202</v>
      </c>
      <c r="H106" s="224">
        <f>ROUNDUP(Tabela134[[#This Row],[ OLD PRICE]]*(1+PRICES!$C$3),0)</f>
        <v>243</v>
      </c>
      <c r="I106" s="79">
        <v>0.2</v>
      </c>
      <c r="J106" s="79">
        <f>Tabela134[[#This Row],[ OLD PRICE]]*Tabela134[[#This Row],[DISCOUNT per piece '[%']]]</f>
        <v>40.400000000000006</v>
      </c>
      <c r="K106" s="79">
        <f>Tabela134[[#This Row],[ OLD PRICE]]*(1-Tabela134[[#This Row],[DISCOUNT per piece '[%']]])</f>
        <v>161.60000000000002</v>
      </c>
      <c r="L106" s="79">
        <f>Tabela134[[#This Row],[PCS]]*Tabela134[[#This Row],[PROMOTIONAL PRICE]]</f>
        <v>0</v>
      </c>
      <c r="M106" s="492" cm="1">
        <f t="array" ref="M106">ROUNDUP(Tabela134[[#This Row],[NEW PRICE]]*eurofxref_daily[],2)</f>
        <v>390.94</v>
      </c>
      <c r="N106" s="493">
        <f>Tabela134[[#This Row],[CAD PRICE]]*O106</f>
        <v>0</v>
      </c>
      <c r="O106" s="127">
        <f>SUM(Tabela134[[#This Row],[RAL 1023]:[Clear Wood]])</f>
        <v>0</v>
      </c>
      <c r="P106" s="128">
        <f>Tabela134[[#This Row],[PCS]]*Tabela134[[#This Row],[Weight (kg)]]</f>
        <v>0</v>
      </c>
      <c r="Q106" s="395" t="s">
        <v>2067</v>
      </c>
      <c r="R106" s="482"/>
      <c r="S106" s="486"/>
      <c r="T106" s="466"/>
      <c r="U106" s="435"/>
      <c r="V106" s="467"/>
      <c r="W106" s="468"/>
      <c r="X106" s="436"/>
      <c r="Y106" s="470"/>
      <c r="Z106" s="469"/>
      <c r="AA106" s="449"/>
      <c r="AB106" s="334"/>
      <c r="AC106" s="334"/>
      <c r="AD106" s="340"/>
    </row>
    <row r="107" spans="1:30" ht="13.5" customHeight="1" thickBot="1" x14ac:dyDescent="0.3">
      <c r="C107" s="92" t="s">
        <v>1651</v>
      </c>
      <c r="D107" s="255" t="s">
        <v>1668</v>
      </c>
      <c r="E107" s="78" t="s">
        <v>1704</v>
      </c>
      <c r="F107" s="47">
        <v>9</v>
      </c>
      <c r="G107" s="224">
        <v>393</v>
      </c>
      <c r="H107" s="224">
        <f>ROUNDUP(Tabela134[[#This Row],[ OLD PRICE]]*(1+PRICES!$C$3),0)</f>
        <v>472</v>
      </c>
      <c r="I107" s="79">
        <v>0.2</v>
      </c>
      <c r="J107" s="79">
        <f>Tabela134[[#This Row],[ OLD PRICE]]*Tabela134[[#This Row],[DISCOUNT per piece '[%']]]</f>
        <v>78.600000000000009</v>
      </c>
      <c r="K107" s="79">
        <f>Tabela134[[#This Row],[ OLD PRICE]]*(1-Tabela134[[#This Row],[DISCOUNT per piece '[%']]])</f>
        <v>314.40000000000003</v>
      </c>
      <c r="L107" s="79">
        <f>Tabela134[[#This Row],[PCS]]*Tabela134[[#This Row],[PROMOTIONAL PRICE]]</f>
        <v>0</v>
      </c>
      <c r="M107" s="492" cm="1">
        <f t="array" ref="M107">ROUNDUP(Tabela134[[#This Row],[NEW PRICE]]*eurofxref_daily[],2)</f>
        <v>759.36</v>
      </c>
      <c r="N107" s="493">
        <f>Tabela134[[#This Row],[CAD PRICE]]*O107</f>
        <v>0</v>
      </c>
      <c r="O107" s="127">
        <f>SUM(Tabela134[[#This Row],[RAL 1023]:[Clear Wood]])</f>
        <v>0</v>
      </c>
      <c r="P107" s="128">
        <f>Tabela134[[#This Row],[PCS]]*Tabela134[[#This Row],[Weight (kg)]]</f>
        <v>0</v>
      </c>
      <c r="Q107" s="395" t="s">
        <v>2067</v>
      </c>
      <c r="R107" s="482"/>
      <c r="S107" s="486"/>
      <c r="T107" s="466"/>
      <c r="U107" s="435"/>
      <c r="V107" s="467"/>
      <c r="W107" s="468"/>
      <c r="X107" s="436"/>
      <c r="Y107" s="470"/>
      <c r="Z107" s="469"/>
      <c r="AA107" s="449"/>
      <c r="AB107" s="334"/>
      <c r="AC107" s="334"/>
      <c r="AD107" s="340"/>
    </row>
    <row r="108" spans="1:30" ht="13.5" customHeight="1" thickBot="1" x14ac:dyDescent="0.3">
      <c r="C108" s="92" t="s">
        <v>1652</v>
      </c>
      <c r="D108" s="255" t="s">
        <v>1669</v>
      </c>
      <c r="E108" s="78" t="s">
        <v>1703</v>
      </c>
      <c r="F108" s="47">
        <v>9</v>
      </c>
      <c r="G108" s="224">
        <v>202</v>
      </c>
      <c r="H108" s="224">
        <f>ROUNDUP(Tabela134[[#This Row],[ OLD PRICE]]*(1+PRICES!$C$3),0)</f>
        <v>243</v>
      </c>
      <c r="I108" s="79">
        <v>0.2</v>
      </c>
      <c r="J108" s="79">
        <f>Tabela134[[#This Row],[ OLD PRICE]]*Tabela134[[#This Row],[DISCOUNT per piece '[%']]]</f>
        <v>40.400000000000006</v>
      </c>
      <c r="K108" s="79">
        <f>Tabela134[[#This Row],[ OLD PRICE]]*(1-Tabela134[[#This Row],[DISCOUNT per piece '[%']]])</f>
        <v>161.60000000000002</v>
      </c>
      <c r="L108" s="79">
        <f>Tabela134[[#This Row],[PCS]]*Tabela134[[#This Row],[PROMOTIONAL PRICE]]</f>
        <v>0</v>
      </c>
      <c r="M108" s="492" cm="1">
        <f t="array" ref="M108">ROUNDUP(Tabela134[[#This Row],[NEW PRICE]]*eurofxref_daily[],2)</f>
        <v>390.94</v>
      </c>
      <c r="N108" s="493">
        <f>Tabela134[[#This Row],[CAD PRICE]]*O108</f>
        <v>0</v>
      </c>
      <c r="O108" s="127">
        <f>SUM(Tabela134[[#This Row],[RAL 1023]:[Clear Wood]])</f>
        <v>0</v>
      </c>
      <c r="P108" s="128">
        <f>Tabela134[[#This Row],[PCS]]*Tabela134[[#This Row],[Weight (kg)]]</f>
        <v>0</v>
      </c>
      <c r="Q108" s="395" t="s">
        <v>2067</v>
      </c>
      <c r="R108" s="482"/>
      <c r="S108" s="486"/>
      <c r="T108" s="466"/>
      <c r="U108" s="435"/>
      <c r="V108" s="467"/>
      <c r="W108" s="468"/>
      <c r="X108" s="436"/>
      <c r="Y108" s="470"/>
      <c r="Z108" s="469"/>
      <c r="AA108" s="449"/>
      <c r="AB108" s="334"/>
      <c r="AC108" s="334"/>
      <c r="AD108" s="340"/>
    </row>
    <row r="109" spans="1:30" ht="13.5" customHeight="1" thickBot="1" x14ac:dyDescent="0.3">
      <c r="C109" s="92" t="s">
        <v>1653</v>
      </c>
      <c r="D109" s="255" t="s">
        <v>1670</v>
      </c>
      <c r="E109" s="78" t="s">
        <v>1705</v>
      </c>
      <c r="F109" s="47">
        <v>9</v>
      </c>
      <c r="G109" s="224">
        <v>181</v>
      </c>
      <c r="H109" s="224">
        <f>ROUNDUP(Tabela134[[#This Row],[ OLD PRICE]]*(1+PRICES!$C$3),0)</f>
        <v>218</v>
      </c>
      <c r="I109" s="79">
        <v>0.2</v>
      </c>
      <c r="J109" s="79">
        <f>Tabela134[[#This Row],[ OLD PRICE]]*Tabela134[[#This Row],[DISCOUNT per piece '[%']]]</f>
        <v>36.200000000000003</v>
      </c>
      <c r="K109" s="79">
        <f>Tabela134[[#This Row],[ OLD PRICE]]*(1-Tabela134[[#This Row],[DISCOUNT per piece '[%']]])</f>
        <v>144.80000000000001</v>
      </c>
      <c r="L109" s="79">
        <f>Tabela134[[#This Row],[PCS]]*Tabela134[[#This Row],[PROMOTIONAL PRICE]]</f>
        <v>0</v>
      </c>
      <c r="M109" s="492" cm="1">
        <f t="array" ref="M109">ROUNDUP(Tabela134[[#This Row],[NEW PRICE]]*eurofxref_daily[],2)</f>
        <v>350.71999999999997</v>
      </c>
      <c r="N109" s="493">
        <f>Tabela134[[#This Row],[CAD PRICE]]*O109</f>
        <v>0</v>
      </c>
      <c r="O109" s="127">
        <f>SUM(Tabela134[[#This Row],[RAL 1023]:[Clear Wood]])</f>
        <v>0</v>
      </c>
      <c r="P109" s="128">
        <f>Tabela134[[#This Row],[PCS]]*Tabela134[[#This Row],[Weight (kg)]]</f>
        <v>0</v>
      </c>
      <c r="Q109" s="395" t="s">
        <v>2067</v>
      </c>
      <c r="R109" s="482"/>
      <c r="S109" s="486"/>
      <c r="T109" s="466"/>
      <c r="U109" s="435"/>
      <c r="V109" s="467"/>
      <c r="W109" s="468"/>
      <c r="X109" s="436"/>
      <c r="Y109" s="470"/>
      <c r="Z109" s="469"/>
      <c r="AA109" s="449"/>
      <c r="AB109" s="334"/>
      <c r="AC109" s="334"/>
      <c r="AD109" s="340"/>
    </row>
    <row r="110" spans="1:30" ht="13.5" customHeight="1" thickBot="1" x14ac:dyDescent="0.3">
      <c r="C110" s="92" t="s">
        <v>1654</v>
      </c>
      <c r="D110" s="255" t="s">
        <v>1671</v>
      </c>
      <c r="E110" s="78" t="s">
        <v>1706</v>
      </c>
      <c r="F110" s="47">
        <v>11</v>
      </c>
      <c r="G110" s="224">
        <v>350</v>
      </c>
      <c r="H110" s="224">
        <f>ROUNDUP(Tabela134[[#This Row],[ OLD PRICE]]*(1+PRICES!$C$3),0)</f>
        <v>420</v>
      </c>
      <c r="I110" s="79">
        <v>0.2</v>
      </c>
      <c r="J110" s="79">
        <f>Tabela134[[#This Row],[ OLD PRICE]]*Tabela134[[#This Row],[DISCOUNT per piece '[%']]]</f>
        <v>70</v>
      </c>
      <c r="K110" s="79">
        <f>Tabela134[[#This Row],[ OLD PRICE]]*(1-Tabela134[[#This Row],[DISCOUNT per piece '[%']]])</f>
        <v>280</v>
      </c>
      <c r="L110" s="79">
        <f>Tabela134[[#This Row],[PCS]]*Tabela134[[#This Row],[PROMOTIONAL PRICE]]</f>
        <v>0</v>
      </c>
      <c r="M110" s="492" cm="1">
        <f t="array" ref="M110">ROUNDUP(Tabela134[[#This Row],[NEW PRICE]]*eurofxref_daily[],2)</f>
        <v>675.7</v>
      </c>
      <c r="N110" s="493">
        <f>Tabela134[[#This Row],[CAD PRICE]]*O110</f>
        <v>0</v>
      </c>
      <c r="O110" s="127">
        <f>SUM(Tabela134[[#This Row],[RAL 1023]:[Clear Wood]])</f>
        <v>0</v>
      </c>
      <c r="P110" s="128">
        <f>Tabela134[[#This Row],[PCS]]*Tabela134[[#This Row],[Weight (kg)]]</f>
        <v>0</v>
      </c>
      <c r="Q110" s="395" t="s">
        <v>2067</v>
      </c>
      <c r="R110" s="482"/>
      <c r="S110" s="486"/>
      <c r="T110" s="466"/>
      <c r="U110" s="435"/>
      <c r="V110" s="467"/>
      <c r="W110" s="468"/>
      <c r="X110" s="436"/>
      <c r="Y110" s="470"/>
      <c r="Z110" s="469"/>
      <c r="AA110" s="449"/>
      <c r="AB110" s="334"/>
      <c r="AC110" s="334"/>
      <c r="AD110" s="340"/>
    </row>
    <row r="111" spans="1:30" ht="13.5" customHeight="1" thickBot="1" x14ac:dyDescent="0.3">
      <c r="C111" s="92" t="s">
        <v>1655</v>
      </c>
      <c r="D111" s="255" t="s">
        <v>1672</v>
      </c>
      <c r="E111" s="78" t="s">
        <v>1705</v>
      </c>
      <c r="F111" s="47">
        <v>11</v>
      </c>
      <c r="G111" s="224">
        <v>181</v>
      </c>
      <c r="H111" s="224">
        <f>ROUNDUP(Tabela134[[#This Row],[ OLD PRICE]]*(1+PRICES!$C$3),0)</f>
        <v>218</v>
      </c>
      <c r="I111" s="79">
        <v>0.2</v>
      </c>
      <c r="J111" s="79">
        <f>Tabela134[[#This Row],[ OLD PRICE]]*Tabela134[[#This Row],[DISCOUNT per piece '[%']]]</f>
        <v>36.200000000000003</v>
      </c>
      <c r="K111" s="79">
        <f>Tabela134[[#This Row],[ OLD PRICE]]*(1-Tabela134[[#This Row],[DISCOUNT per piece '[%']]])</f>
        <v>144.80000000000001</v>
      </c>
      <c r="L111" s="79">
        <f>Tabela134[[#This Row],[PCS]]*Tabela134[[#This Row],[PROMOTIONAL PRICE]]</f>
        <v>0</v>
      </c>
      <c r="M111" s="492" cm="1">
        <f t="array" ref="M111">ROUNDUP(Tabela134[[#This Row],[NEW PRICE]]*eurofxref_daily[],2)</f>
        <v>350.71999999999997</v>
      </c>
      <c r="N111" s="493">
        <f>Tabela134[[#This Row],[CAD PRICE]]*O111</f>
        <v>0</v>
      </c>
      <c r="O111" s="127">
        <f>SUM(Tabela134[[#This Row],[RAL 1023]:[Clear Wood]])</f>
        <v>0</v>
      </c>
      <c r="P111" s="128">
        <f>Tabela134[[#This Row],[PCS]]*Tabela134[[#This Row],[Weight (kg)]]</f>
        <v>0</v>
      </c>
      <c r="Q111" s="395" t="s">
        <v>2067</v>
      </c>
      <c r="R111" s="482"/>
      <c r="S111" s="486"/>
      <c r="T111" s="466"/>
      <c r="U111" s="435"/>
      <c r="V111" s="467"/>
      <c r="W111" s="468"/>
      <c r="X111" s="436"/>
      <c r="Y111" s="470"/>
      <c r="Z111" s="469"/>
      <c r="AA111" s="449"/>
      <c r="AB111" s="334"/>
      <c r="AC111" s="334"/>
      <c r="AD111" s="340"/>
    </row>
    <row r="112" spans="1:30" ht="15.75" thickBot="1" x14ac:dyDescent="0.3">
      <c r="A112"/>
      <c r="C112" s="125" t="s">
        <v>1834</v>
      </c>
      <c r="D112" s="126"/>
      <c r="E112" s="124"/>
      <c r="F112" s="124"/>
      <c r="G112" s="358"/>
      <c r="H112" s="124"/>
      <c r="I112" s="124"/>
      <c r="J112" s="124"/>
      <c r="K112" s="124"/>
      <c r="L112" s="124"/>
      <c r="M112" s="124"/>
      <c r="N112" s="124"/>
      <c r="O112" s="124"/>
      <c r="P112" s="124"/>
      <c r="Q112" s="401"/>
      <c r="R112" s="80"/>
      <c r="S112" s="80"/>
      <c r="T112" s="80"/>
      <c r="U112" s="80"/>
      <c r="V112" s="80"/>
      <c r="W112" s="80"/>
      <c r="X112" s="80"/>
      <c r="Y112" s="80"/>
      <c r="Z112" s="457"/>
      <c r="AA112" s="457"/>
      <c r="AB112" s="202"/>
      <c r="AC112" s="202"/>
      <c r="AD112" s="201"/>
    </row>
    <row r="113" spans="1:30" ht="15.75" thickBot="1" x14ac:dyDescent="0.3">
      <c r="C113" s="338" t="s">
        <v>1820</v>
      </c>
      <c r="D113" s="255" t="s">
        <v>1799</v>
      </c>
      <c r="E113" s="48" t="s">
        <v>1835</v>
      </c>
      <c r="F113" s="47">
        <v>22.5</v>
      </c>
      <c r="G113" s="224">
        <v>434</v>
      </c>
      <c r="H113" s="224">
        <f>ROUNDUP(Tabela134[[#This Row],[ OLD PRICE]]*(1+PRICES!$C$3),0)</f>
        <v>521</v>
      </c>
      <c r="I113" s="79">
        <v>0.2</v>
      </c>
      <c r="J113" s="79">
        <f>Tabela134[[#This Row],[ OLD PRICE]]*Tabela134[[#This Row],[DISCOUNT per piece '[%']]]</f>
        <v>86.800000000000011</v>
      </c>
      <c r="K113" s="79">
        <f>Tabela134[[#This Row],[ OLD PRICE]]*(1-Tabela134[[#This Row],[DISCOUNT per piece '[%']]])</f>
        <v>347.20000000000005</v>
      </c>
      <c r="L113" s="79">
        <f>Tabela134[[#This Row],[PCS]]*Tabela134[[#This Row],[PROMOTIONAL PRICE]]</f>
        <v>0</v>
      </c>
      <c r="M113" s="492" cm="1">
        <f t="array" ref="M113">ROUNDUP(Tabela134[[#This Row],[NEW PRICE]]*eurofxref_daily[],2)</f>
        <v>838.18999999999994</v>
      </c>
      <c r="N113" s="493">
        <f>Tabela134[[#This Row],[CAD PRICE]]*O113</f>
        <v>0</v>
      </c>
      <c r="O113" s="127">
        <f>SUM(Tabela134[[#This Row],[RAL 1023]:[Clear Wood]])</f>
        <v>0</v>
      </c>
      <c r="P113" s="128">
        <f>Tabela134[[#This Row],[PCS]]*Tabela134[[#This Row],[Weight (kg)]]</f>
        <v>0</v>
      </c>
      <c r="Q113" s="395" t="s">
        <v>2067</v>
      </c>
      <c r="R113" s="482"/>
      <c r="S113" s="486"/>
      <c r="T113" s="466"/>
      <c r="U113" s="435"/>
      <c r="V113" s="467"/>
      <c r="W113" s="468"/>
      <c r="X113" s="436"/>
      <c r="Y113" s="470"/>
      <c r="Z113" s="469"/>
      <c r="AA113" s="449"/>
      <c r="AB113" s="334"/>
      <c r="AC113" s="334"/>
      <c r="AD113" s="340"/>
    </row>
    <row r="114" spans="1:30" ht="15.75" thickBot="1" x14ac:dyDescent="0.3">
      <c r="C114" s="339" t="s">
        <v>1821</v>
      </c>
      <c r="D114" s="255" t="s">
        <v>1800</v>
      </c>
      <c r="E114" s="48" t="s">
        <v>1835</v>
      </c>
      <c r="F114" s="47">
        <v>22.5</v>
      </c>
      <c r="G114" s="224">
        <v>434</v>
      </c>
      <c r="H114" s="224">
        <f>ROUNDUP(Tabela134[[#This Row],[ OLD PRICE]]*(1+PRICES!$C$3),0)</f>
        <v>521</v>
      </c>
      <c r="I114" s="79">
        <v>0.2</v>
      </c>
      <c r="J114" s="79">
        <f>Tabela134[[#This Row],[ OLD PRICE]]*Tabela134[[#This Row],[DISCOUNT per piece '[%']]]</f>
        <v>86.800000000000011</v>
      </c>
      <c r="K114" s="79">
        <f>Tabela134[[#This Row],[ OLD PRICE]]*(1-Tabela134[[#This Row],[DISCOUNT per piece '[%']]])</f>
        <v>347.20000000000005</v>
      </c>
      <c r="L114" s="79">
        <f>Tabela134[[#This Row],[PCS]]*Tabela134[[#This Row],[PROMOTIONAL PRICE]]</f>
        <v>0</v>
      </c>
      <c r="M114" s="492" cm="1">
        <f t="array" ref="M114">ROUNDUP(Tabela134[[#This Row],[NEW PRICE]]*eurofxref_daily[],2)</f>
        <v>838.18999999999994</v>
      </c>
      <c r="N114" s="493">
        <f>Tabela134[[#This Row],[CAD PRICE]]*O114</f>
        <v>0</v>
      </c>
      <c r="O114" s="127">
        <f>SUM(Tabela134[[#This Row],[RAL 1023]:[Clear Wood]])</f>
        <v>0</v>
      </c>
      <c r="P114" s="128">
        <f>Tabela134[[#This Row],[PCS]]*Tabela134[[#This Row],[Weight (kg)]]</f>
        <v>0</v>
      </c>
      <c r="Q114" s="395" t="s">
        <v>2067</v>
      </c>
      <c r="R114" s="482"/>
      <c r="S114" s="486"/>
      <c r="T114" s="466"/>
      <c r="U114" s="435"/>
      <c r="V114" s="467"/>
      <c r="W114" s="468"/>
      <c r="X114" s="436"/>
      <c r="Y114" s="470"/>
      <c r="Z114" s="469"/>
      <c r="AA114" s="449"/>
      <c r="AB114" s="334"/>
      <c r="AC114" s="334"/>
      <c r="AD114" s="340"/>
    </row>
    <row r="115" spans="1:30" ht="15.75" thickBot="1" x14ac:dyDescent="0.3">
      <c r="C115" s="336" t="s">
        <v>1837</v>
      </c>
      <c r="D115" s="255" t="s">
        <v>1801</v>
      </c>
      <c r="E115" s="48" t="s">
        <v>1836</v>
      </c>
      <c r="F115" s="47">
        <v>13.5</v>
      </c>
      <c r="G115" s="224">
        <v>285</v>
      </c>
      <c r="H115" s="224">
        <f>ROUNDUP(Tabela134[[#This Row],[ OLD PRICE]]*(1+PRICES!$C$3),0)</f>
        <v>342</v>
      </c>
      <c r="I115" s="79">
        <v>0.2</v>
      </c>
      <c r="J115" s="79">
        <f>Tabela134[[#This Row],[ OLD PRICE]]*Tabela134[[#This Row],[DISCOUNT per piece '[%']]]</f>
        <v>57</v>
      </c>
      <c r="K115" s="79">
        <f>Tabela134[[#This Row],[ OLD PRICE]]*(1-Tabela134[[#This Row],[DISCOUNT per piece '[%']]])</f>
        <v>228</v>
      </c>
      <c r="L115" s="79">
        <f>Tabela134[[#This Row],[PCS]]*Tabela134[[#This Row],[PROMOTIONAL PRICE]]</f>
        <v>0</v>
      </c>
      <c r="M115" s="492" cm="1">
        <f t="array" ref="M115">ROUNDUP(Tabela134[[#This Row],[NEW PRICE]]*eurofxref_daily[],2)</f>
        <v>550.21</v>
      </c>
      <c r="N115" s="493">
        <f>Tabela134[[#This Row],[CAD PRICE]]*O115</f>
        <v>0</v>
      </c>
      <c r="O115" s="127">
        <f>SUM(Tabela134[[#This Row],[RAL 1023]:[Clear Wood]])</f>
        <v>0</v>
      </c>
      <c r="P115" s="128">
        <f>Tabela134[[#This Row],[PCS]]*Tabela134[[#This Row],[Weight (kg)]]</f>
        <v>0</v>
      </c>
      <c r="Q115" s="395" t="s">
        <v>2067</v>
      </c>
      <c r="R115" s="482"/>
      <c r="S115" s="486"/>
      <c r="T115" s="466"/>
      <c r="U115" s="435"/>
      <c r="V115" s="467"/>
      <c r="W115" s="468"/>
      <c r="X115" s="436"/>
      <c r="Y115" s="470"/>
      <c r="Z115" s="469"/>
      <c r="AA115" s="449"/>
      <c r="AB115" s="334"/>
      <c r="AC115" s="334"/>
      <c r="AD115" s="340"/>
    </row>
    <row r="116" spans="1:30" ht="15.75" thickBot="1" x14ac:dyDescent="0.3">
      <c r="C116" s="336" t="s">
        <v>1838</v>
      </c>
      <c r="D116" s="255" t="s">
        <v>1802</v>
      </c>
      <c r="E116" s="48" t="s">
        <v>1836</v>
      </c>
      <c r="F116" s="47">
        <v>13.5</v>
      </c>
      <c r="G116" s="224">
        <v>285</v>
      </c>
      <c r="H116" s="224">
        <f>ROUNDUP(Tabela134[[#This Row],[ OLD PRICE]]*(1+PRICES!$C$3),0)</f>
        <v>342</v>
      </c>
      <c r="I116" s="79">
        <v>0.2</v>
      </c>
      <c r="J116" s="79">
        <f>Tabela134[[#This Row],[ OLD PRICE]]*Tabela134[[#This Row],[DISCOUNT per piece '[%']]]</f>
        <v>57</v>
      </c>
      <c r="K116" s="79">
        <f>Tabela134[[#This Row],[ OLD PRICE]]*(1-Tabela134[[#This Row],[DISCOUNT per piece '[%']]])</f>
        <v>228</v>
      </c>
      <c r="L116" s="79">
        <f>Tabela134[[#This Row],[PCS]]*Tabela134[[#This Row],[PROMOTIONAL PRICE]]</f>
        <v>0</v>
      </c>
      <c r="M116" s="492" cm="1">
        <f t="array" ref="M116">ROUNDUP(Tabela134[[#This Row],[NEW PRICE]]*eurofxref_daily[],2)</f>
        <v>550.21</v>
      </c>
      <c r="N116" s="493">
        <f>Tabela134[[#This Row],[CAD PRICE]]*O116</f>
        <v>0</v>
      </c>
      <c r="O116" s="127">
        <f>SUM(Tabela134[[#This Row],[RAL 1023]:[Clear Wood]])</f>
        <v>0</v>
      </c>
      <c r="P116" s="128">
        <f>Tabela134[[#This Row],[PCS]]*Tabela134[[#This Row],[Weight (kg)]]</f>
        <v>0</v>
      </c>
      <c r="Q116" s="395" t="s">
        <v>2067</v>
      </c>
      <c r="R116" s="482"/>
      <c r="S116" s="486"/>
      <c r="T116" s="466"/>
      <c r="U116" s="435"/>
      <c r="V116" s="467"/>
      <c r="W116" s="468"/>
      <c r="X116" s="436"/>
      <c r="Y116" s="470"/>
      <c r="Z116" s="469"/>
      <c r="AA116" s="449"/>
      <c r="AB116" s="334"/>
      <c r="AC116" s="334"/>
      <c r="AD116" s="340"/>
    </row>
    <row r="117" spans="1:30" ht="15.75" thickBot="1" x14ac:dyDescent="0.3">
      <c r="C117" s="336" t="s">
        <v>1839</v>
      </c>
      <c r="D117" s="255" t="s">
        <v>1803</v>
      </c>
      <c r="E117" s="48" t="s">
        <v>1844</v>
      </c>
      <c r="F117" s="47">
        <v>7.5</v>
      </c>
      <c r="G117" s="224">
        <v>132</v>
      </c>
      <c r="H117" s="224">
        <f>ROUNDUP(Tabela134[[#This Row],[ OLD PRICE]]*(1+PRICES!$C$3),0)</f>
        <v>159</v>
      </c>
      <c r="I117" s="79">
        <v>0.2</v>
      </c>
      <c r="J117" s="79">
        <f>Tabela134[[#This Row],[ OLD PRICE]]*Tabela134[[#This Row],[DISCOUNT per piece '[%']]]</f>
        <v>26.400000000000002</v>
      </c>
      <c r="K117" s="79">
        <f>Tabela134[[#This Row],[ OLD PRICE]]*(1-Tabela134[[#This Row],[DISCOUNT per piece '[%']]])</f>
        <v>105.60000000000001</v>
      </c>
      <c r="L117" s="79">
        <f>Tabela134[[#This Row],[PCS]]*Tabela134[[#This Row],[PROMOTIONAL PRICE]]</f>
        <v>0</v>
      </c>
      <c r="M117" s="492" cm="1">
        <f t="array" ref="M117">ROUNDUP(Tabela134[[#This Row],[NEW PRICE]]*eurofxref_daily[],2)</f>
        <v>255.79999999999998</v>
      </c>
      <c r="N117" s="493">
        <f>Tabela134[[#This Row],[CAD PRICE]]*O117</f>
        <v>0</v>
      </c>
      <c r="O117" s="127">
        <f>SUM(Tabela134[[#This Row],[RAL 1023]:[Clear Wood]])</f>
        <v>0</v>
      </c>
      <c r="P117" s="128">
        <f>Tabela134[[#This Row],[PCS]]*Tabela134[[#This Row],[Weight (kg)]]</f>
        <v>0</v>
      </c>
      <c r="Q117" s="395" t="s">
        <v>2067</v>
      </c>
      <c r="R117" s="482"/>
      <c r="S117" s="486"/>
      <c r="T117" s="466"/>
      <c r="U117" s="435"/>
      <c r="V117" s="467"/>
      <c r="W117" s="468"/>
      <c r="X117" s="436"/>
      <c r="Y117" s="470"/>
      <c r="Z117" s="469"/>
      <c r="AA117" s="449"/>
      <c r="AB117" s="334"/>
      <c r="AC117" s="334"/>
      <c r="AD117" s="340"/>
    </row>
    <row r="118" spans="1:30" ht="15.75" thickBot="1" x14ac:dyDescent="0.3">
      <c r="C118" s="336" t="s">
        <v>1840</v>
      </c>
      <c r="D118" s="255" t="s">
        <v>1804</v>
      </c>
      <c r="E118" s="48" t="s">
        <v>1844</v>
      </c>
      <c r="F118" s="47">
        <v>7.5</v>
      </c>
      <c r="G118" s="224">
        <v>132</v>
      </c>
      <c r="H118" s="224">
        <f>ROUNDUP(Tabela134[[#This Row],[ OLD PRICE]]*(1+PRICES!$C$3),0)</f>
        <v>159</v>
      </c>
      <c r="I118" s="79">
        <v>0.2</v>
      </c>
      <c r="J118" s="79">
        <f>Tabela134[[#This Row],[ OLD PRICE]]*Tabela134[[#This Row],[DISCOUNT per piece '[%']]]</f>
        <v>26.400000000000002</v>
      </c>
      <c r="K118" s="79">
        <f>Tabela134[[#This Row],[ OLD PRICE]]*(1-Tabela134[[#This Row],[DISCOUNT per piece '[%']]])</f>
        <v>105.60000000000001</v>
      </c>
      <c r="L118" s="79">
        <f>Tabela134[[#This Row],[PCS]]*Tabela134[[#This Row],[PROMOTIONAL PRICE]]</f>
        <v>0</v>
      </c>
      <c r="M118" s="492" cm="1">
        <f t="array" ref="M118">ROUNDUP(Tabela134[[#This Row],[NEW PRICE]]*eurofxref_daily[],2)</f>
        <v>255.79999999999998</v>
      </c>
      <c r="N118" s="493">
        <f>Tabela134[[#This Row],[CAD PRICE]]*O118</f>
        <v>0</v>
      </c>
      <c r="O118" s="127">
        <f>SUM(Tabela134[[#This Row],[RAL 1023]:[Clear Wood]])</f>
        <v>0</v>
      </c>
      <c r="P118" s="128">
        <f>Tabela134[[#This Row],[PCS]]*Tabela134[[#This Row],[Weight (kg)]]</f>
        <v>0</v>
      </c>
      <c r="Q118" s="395" t="s">
        <v>2067</v>
      </c>
      <c r="R118" s="482"/>
      <c r="S118" s="486"/>
      <c r="T118" s="466"/>
      <c r="U118" s="435"/>
      <c r="V118" s="467"/>
      <c r="W118" s="468"/>
      <c r="X118" s="436"/>
      <c r="Y118" s="470"/>
      <c r="Z118" s="469"/>
      <c r="AA118" s="449"/>
      <c r="AB118" s="334"/>
      <c r="AC118" s="334"/>
      <c r="AD118" s="340"/>
    </row>
    <row r="119" spans="1:30" ht="15.75" thickBot="1" x14ac:dyDescent="0.3">
      <c r="C119" s="336" t="s">
        <v>1841</v>
      </c>
      <c r="D119" s="255" t="s">
        <v>1805</v>
      </c>
      <c r="E119" s="48" t="s">
        <v>1845</v>
      </c>
      <c r="F119" s="47">
        <v>18</v>
      </c>
      <c r="G119" s="224">
        <v>361</v>
      </c>
      <c r="H119" s="224">
        <f>ROUNDUP(Tabela134[[#This Row],[ OLD PRICE]]*(1+PRICES!$C$3),0)</f>
        <v>434</v>
      </c>
      <c r="I119" s="79">
        <v>0.2</v>
      </c>
      <c r="J119" s="79">
        <f>Tabela134[[#This Row],[ OLD PRICE]]*Tabela134[[#This Row],[DISCOUNT per piece '[%']]]</f>
        <v>72.2</v>
      </c>
      <c r="K119" s="79">
        <f>Tabela134[[#This Row],[ OLD PRICE]]*(1-Tabela134[[#This Row],[DISCOUNT per piece '[%']]])</f>
        <v>288.8</v>
      </c>
      <c r="L119" s="79">
        <f>Tabela134[[#This Row],[PCS]]*Tabela134[[#This Row],[PROMOTIONAL PRICE]]</f>
        <v>0</v>
      </c>
      <c r="M119" s="492" cm="1">
        <f t="array" ref="M119">ROUNDUP(Tabela134[[#This Row],[NEW PRICE]]*eurofxref_daily[],2)</f>
        <v>698.22</v>
      </c>
      <c r="N119" s="493">
        <f>Tabela134[[#This Row],[CAD PRICE]]*O119</f>
        <v>0</v>
      </c>
      <c r="O119" s="127">
        <f>SUM(Tabela134[[#This Row],[RAL 1023]:[Clear Wood]])</f>
        <v>0</v>
      </c>
      <c r="P119" s="128">
        <f>Tabela134[[#This Row],[PCS]]*Tabela134[[#This Row],[Weight (kg)]]</f>
        <v>0</v>
      </c>
      <c r="Q119" s="395" t="s">
        <v>2067</v>
      </c>
      <c r="R119" s="482"/>
      <c r="S119" s="486"/>
      <c r="T119" s="466"/>
      <c r="U119" s="435"/>
      <c r="V119" s="467"/>
      <c r="W119" s="468"/>
      <c r="X119" s="436"/>
      <c r="Y119" s="470"/>
      <c r="Z119" s="469"/>
      <c r="AA119" s="449"/>
      <c r="AB119" s="334"/>
      <c r="AC119" s="334"/>
      <c r="AD119" s="340"/>
    </row>
    <row r="120" spans="1:30" ht="15.75" thickBot="1" x14ac:dyDescent="0.3">
      <c r="C120" s="336" t="s">
        <v>1842</v>
      </c>
      <c r="D120" s="255" t="s">
        <v>1806</v>
      </c>
      <c r="E120" s="48" t="s">
        <v>1846</v>
      </c>
      <c r="F120" s="47">
        <v>10.5</v>
      </c>
      <c r="G120" s="224">
        <v>237</v>
      </c>
      <c r="H120" s="224">
        <f>ROUNDUP(Tabela134[[#This Row],[ OLD PRICE]]*(1+PRICES!$C$3),0)</f>
        <v>285</v>
      </c>
      <c r="I120" s="79">
        <v>0.2</v>
      </c>
      <c r="J120" s="79">
        <f>Tabela134[[#This Row],[ OLD PRICE]]*Tabela134[[#This Row],[DISCOUNT per piece '[%']]]</f>
        <v>47.400000000000006</v>
      </c>
      <c r="K120" s="79">
        <f>Tabela134[[#This Row],[ OLD PRICE]]*(1-Tabela134[[#This Row],[DISCOUNT per piece '[%']]])</f>
        <v>189.60000000000002</v>
      </c>
      <c r="L120" s="79">
        <f>Tabela134[[#This Row],[PCS]]*Tabela134[[#This Row],[PROMOTIONAL PRICE]]</f>
        <v>0</v>
      </c>
      <c r="M120" s="492" cm="1">
        <f t="array" ref="M120">ROUNDUP(Tabela134[[#This Row],[NEW PRICE]]*eurofxref_daily[],2)</f>
        <v>458.51</v>
      </c>
      <c r="N120" s="493">
        <f>Tabela134[[#This Row],[CAD PRICE]]*O120</f>
        <v>0</v>
      </c>
      <c r="O120" s="127">
        <f>SUM(Tabela134[[#This Row],[RAL 1023]:[Clear Wood]])</f>
        <v>0</v>
      </c>
      <c r="P120" s="128">
        <f>Tabela134[[#This Row],[PCS]]*Tabela134[[#This Row],[Weight (kg)]]</f>
        <v>0</v>
      </c>
      <c r="Q120" s="395" t="s">
        <v>2067</v>
      </c>
      <c r="R120" s="482"/>
      <c r="S120" s="486"/>
      <c r="T120" s="466"/>
      <c r="U120" s="435"/>
      <c r="V120" s="467"/>
      <c r="W120" s="468"/>
      <c r="X120" s="436"/>
      <c r="Y120" s="470"/>
      <c r="Z120" s="469"/>
      <c r="AA120" s="449"/>
      <c r="AB120" s="334"/>
      <c r="AC120" s="334"/>
      <c r="AD120" s="340"/>
    </row>
    <row r="121" spans="1:30" ht="15.75" thickBot="1" x14ac:dyDescent="0.3">
      <c r="C121" s="337" t="s">
        <v>1843</v>
      </c>
      <c r="D121" s="255" t="s">
        <v>1807</v>
      </c>
      <c r="E121" s="48" t="s">
        <v>1847</v>
      </c>
      <c r="F121" s="47">
        <v>5.25</v>
      </c>
      <c r="G121" s="224">
        <v>112</v>
      </c>
      <c r="H121" s="224">
        <f>ROUNDUP(Tabela134[[#This Row],[ OLD PRICE]]*(1+PRICES!$C$3),0)</f>
        <v>135</v>
      </c>
      <c r="I121" s="79">
        <v>0.2</v>
      </c>
      <c r="J121" s="79">
        <f>Tabela134[[#This Row],[ OLD PRICE]]*Tabela134[[#This Row],[DISCOUNT per piece '[%']]]</f>
        <v>22.400000000000002</v>
      </c>
      <c r="K121" s="79">
        <f>Tabela134[[#This Row],[ OLD PRICE]]*(1-Tabela134[[#This Row],[DISCOUNT per piece '[%']]])</f>
        <v>89.600000000000009</v>
      </c>
      <c r="L121" s="79">
        <f>Tabela134[[#This Row],[PCS]]*Tabela134[[#This Row],[PROMOTIONAL PRICE]]</f>
        <v>0</v>
      </c>
      <c r="M121" s="492" cm="1">
        <f t="array" ref="M121">ROUNDUP(Tabela134[[#This Row],[NEW PRICE]]*eurofxref_daily[],2)</f>
        <v>217.19</v>
      </c>
      <c r="N121" s="493">
        <f>Tabela134[[#This Row],[CAD PRICE]]*O121</f>
        <v>0</v>
      </c>
      <c r="O121" s="127">
        <f>SUM(Tabela134[[#This Row],[RAL 1023]:[Clear Wood]])</f>
        <v>0</v>
      </c>
      <c r="P121" s="150">
        <f>Tabela134[[#This Row],[PCS]]*Tabela134[[#This Row],[Weight (kg)]]</f>
        <v>0</v>
      </c>
      <c r="Q121" s="395" t="s">
        <v>2067</v>
      </c>
      <c r="R121" s="482"/>
      <c r="S121" s="486"/>
      <c r="T121" s="466"/>
      <c r="U121" s="435"/>
      <c r="V121" s="467"/>
      <c r="W121" s="468"/>
      <c r="X121" s="436"/>
      <c r="Y121" s="470"/>
      <c r="Z121" s="469"/>
      <c r="AA121" s="449"/>
      <c r="AB121" s="334"/>
      <c r="AC121" s="334"/>
      <c r="AD121" s="340"/>
    </row>
    <row r="122" spans="1:30" ht="15.75" thickBot="1" x14ac:dyDescent="0.3">
      <c r="C122" s="125" t="s">
        <v>1798</v>
      </c>
      <c r="D122" s="126"/>
      <c r="E122" s="124"/>
      <c r="F122" s="124"/>
      <c r="G122" s="358"/>
      <c r="H122" s="124"/>
      <c r="I122" s="124"/>
      <c r="J122" s="124"/>
      <c r="K122" s="124"/>
      <c r="L122" s="124"/>
      <c r="M122" s="124"/>
      <c r="N122" s="124"/>
      <c r="O122" s="124"/>
      <c r="P122" s="124"/>
      <c r="Q122" s="401"/>
      <c r="R122" s="80"/>
      <c r="S122" s="80"/>
      <c r="T122" s="80"/>
      <c r="U122" s="80"/>
      <c r="V122" s="80"/>
      <c r="W122" s="80"/>
      <c r="X122" s="80"/>
      <c r="Y122" s="80"/>
      <c r="Z122" s="457"/>
      <c r="AA122" s="457"/>
      <c r="AB122" s="202"/>
      <c r="AC122" s="202"/>
      <c r="AD122" s="201"/>
    </row>
    <row r="123" spans="1:30" ht="15.75" thickBot="1" x14ac:dyDescent="0.3">
      <c r="C123" s="335" t="s">
        <v>1822</v>
      </c>
      <c r="D123" s="255" t="s">
        <v>1808</v>
      </c>
      <c r="E123" s="48" t="s">
        <v>1848</v>
      </c>
      <c r="F123" s="47">
        <v>2.25</v>
      </c>
      <c r="G123" s="224">
        <v>66</v>
      </c>
      <c r="H123" s="224">
        <f>ROUNDUP(Tabela134[[#This Row],[ OLD PRICE]]*(1+PRICES!$C$3),0)</f>
        <v>80</v>
      </c>
      <c r="I123" s="79">
        <v>0.2</v>
      </c>
      <c r="J123" s="79">
        <f>Tabela134[[#This Row],[ OLD PRICE]]*Tabela134[[#This Row],[DISCOUNT per piece '[%']]]</f>
        <v>13.200000000000001</v>
      </c>
      <c r="K123" s="79">
        <f>Tabela134[[#This Row],[ OLD PRICE]]*(1-Tabela134[[#This Row],[DISCOUNT per piece '[%']]])</f>
        <v>52.800000000000004</v>
      </c>
      <c r="L123" s="79">
        <f>Tabela134[[#This Row],[PCS]]*Tabela134[[#This Row],[PROMOTIONAL PRICE]]</f>
        <v>0</v>
      </c>
      <c r="M123" s="492" cm="1">
        <f t="array" ref="M123">ROUNDUP(Tabela134[[#This Row],[NEW PRICE]]*eurofxref_daily[],2)</f>
        <v>128.70999999999998</v>
      </c>
      <c r="N123" s="493">
        <f>Tabela134[[#This Row],[CAD PRICE]]*O123</f>
        <v>0</v>
      </c>
      <c r="O123" s="127">
        <f>SUM(Tabela134[[#This Row],[RAL 1023]:[Clear Wood]])</f>
        <v>0</v>
      </c>
      <c r="P123" s="128">
        <f>Tabela134[[#This Row],[PCS]]*Tabela134[[#This Row],[Weight (kg)]]</f>
        <v>0</v>
      </c>
      <c r="Q123" s="395"/>
      <c r="R123" s="482"/>
      <c r="S123" s="486"/>
      <c r="T123" s="466"/>
      <c r="U123" s="435"/>
      <c r="V123" s="467"/>
      <c r="W123" s="468"/>
      <c r="X123" s="436"/>
      <c r="Y123" s="470"/>
      <c r="Z123" s="469"/>
      <c r="AA123" s="449"/>
      <c r="AB123" s="334"/>
      <c r="AC123" s="334"/>
      <c r="AD123" s="340"/>
    </row>
    <row r="124" spans="1:30" ht="15.75" thickBot="1" x14ac:dyDescent="0.3">
      <c r="C124" s="336" t="s">
        <v>1823</v>
      </c>
      <c r="D124" s="255" t="s">
        <v>1809</v>
      </c>
      <c r="E124" s="48" t="s">
        <v>1849</v>
      </c>
      <c r="F124" s="47">
        <v>4.5</v>
      </c>
      <c r="G124" s="224">
        <v>83</v>
      </c>
      <c r="H124" s="224">
        <f>ROUNDUP(Tabela134[[#This Row],[ OLD PRICE]]*(1+PRICES!$C$3),0)</f>
        <v>100</v>
      </c>
      <c r="I124" s="79">
        <v>0.2</v>
      </c>
      <c r="J124" s="79">
        <f>Tabela134[[#This Row],[ OLD PRICE]]*Tabela134[[#This Row],[DISCOUNT per piece '[%']]]</f>
        <v>16.600000000000001</v>
      </c>
      <c r="K124" s="79">
        <f>Tabela134[[#This Row],[ OLD PRICE]]*(1-Tabela134[[#This Row],[DISCOUNT per piece '[%']]])</f>
        <v>66.400000000000006</v>
      </c>
      <c r="L124" s="79">
        <f>Tabela134[[#This Row],[PCS]]*Tabela134[[#This Row],[PROMOTIONAL PRICE]]</f>
        <v>0</v>
      </c>
      <c r="M124" s="492" cm="1">
        <f t="array" ref="M124">ROUNDUP(Tabela134[[#This Row],[NEW PRICE]]*eurofxref_daily[],2)</f>
        <v>160.88</v>
      </c>
      <c r="N124" s="493">
        <f>Tabela134[[#This Row],[CAD PRICE]]*O124</f>
        <v>0</v>
      </c>
      <c r="O124" s="127">
        <f>SUM(Tabela134[[#This Row],[RAL 1023]:[Clear Wood]])</f>
        <v>0</v>
      </c>
      <c r="P124" s="128">
        <f>Tabela134[[#This Row],[PCS]]*Tabela134[[#This Row],[Weight (kg)]]</f>
        <v>0</v>
      </c>
      <c r="Q124" s="395"/>
      <c r="R124" s="482"/>
      <c r="S124" s="486"/>
      <c r="T124" s="466"/>
      <c r="U124" s="435"/>
      <c r="V124" s="467"/>
      <c r="W124" s="468"/>
      <c r="X124" s="436"/>
      <c r="Y124" s="470"/>
      <c r="Z124" s="469"/>
      <c r="AA124" s="449"/>
      <c r="AB124" s="334"/>
      <c r="AC124" s="334"/>
      <c r="AD124" s="340"/>
    </row>
    <row r="125" spans="1:30" ht="15.75" thickBot="1" x14ac:dyDescent="0.3">
      <c r="C125" s="336" t="s">
        <v>1824</v>
      </c>
      <c r="D125" s="255" t="s">
        <v>1810</v>
      </c>
      <c r="E125" s="48" t="s">
        <v>1850</v>
      </c>
      <c r="F125" s="47">
        <v>7.5</v>
      </c>
      <c r="G125" s="224">
        <v>105</v>
      </c>
      <c r="H125" s="224">
        <f>ROUNDUP(Tabela134[[#This Row],[ OLD PRICE]]*(1+PRICES!$C$3),0)</f>
        <v>126</v>
      </c>
      <c r="I125" s="79">
        <v>0.2</v>
      </c>
      <c r="J125" s="79">
        <f>Tabela134[[#This Row],[ OLD PRICE]]*Tabela134[[#This Row],[DISCOUNT per piece '[%']]]</f>
        <v>21</v>
      </c>
      <c r="K125" s="79">
        <f>Tabela134[[#This Row],[ OLD PRICE]]*(1-Tabela134[[#This Row],[DISCOUNT per piece '[%']]])</f>
        <v>84</v>
      </c>
      <c r="L125" s="79">
        <f>Tabela134[[#This Row],[PCS]]*Tabela134[[#This Row],[PROMOTIONAL PRICE]]</f>
        <v>0</v>
      </c>
      <c r="M125" s="492" cm="1">
        <f t="array" ref="M125">ROUNDUP(Tabela134[[#This Row],[NEW PRICE]]*eurofxref_daily[],2)</f>
        <v>202.70999999999998</v>
      </c>
      <c r="N125" s="493">
        <f>Tabela134[[#This Row],[CAD PRICE]]*O125</f>
        <v>0</v>
      </c>
      <c r="O125" s="127">
        <f>SUM(Tabela134[[#This Row],[RAL 1023]:[Clear Wood]])</f>
        <v>0</v>
      </c>
      <c r="P125" s="128">
        <f>Tabela134[[#This Row],[PCS]]*Tabela134[[#This Row],[Weight (kg)]]</f>
        <v>0</v>
      </c>
      <c r="Q125" s="480"/>
      <c r="R125" s="482"/>
      <c r="S125" s="486"/>
      <c r="T125" s="466"/>
      <c r="U125" s="435"/>
      <c r="V125" s="467"/>
      <c r="W125" s="468"/>
      <c r="X125" s="436"/>
      <c r="Y125" s="470"/>
      <c r="Z125" s="469"/>
      <c r="AA125" s="449"/>
      <c r="AB125" s="334"/>
      <c r="AC125" s="334"/>
      <c r="AD125" s="340"/>
    </row>
    <row r="126" spans="1:30" ht="15.75" thickBot="1" x14ac:dyDescent="0.3">
      <c r="C126" s="336" t="s">
        <v>1825</v>
      </c>
      <c r="D126" s="255" t="s">
        <v>1811</v>
      </c>
      <c r="E126" s="48" t="s">
        <v>1851</v>
      </c>
      <c r="F126" s="47">
        <v>7.5</v>
      </c>
      <c r="G126" s="224">
        <v>172</v>
      </c>
      <c r="H126" s="224">
        <f>ROUNDUP(Tabela134[[#This Row],[ OLD PRICE]]*(1+PRICES!$C$3),0)</f>
        <v>207</v>
      </c>
      <c r="I126" s="79">
        <v>0.2</v>
      </c>
      <c r="J126" s="79">
        <f>Tabela134[[#This Row],[ OLD PRICE]]*Tabela134[[#This Row],[DISCOUNT per piece '[%']]]</f>
        <v>34.4</v>
      </c>
      <c r="K126" s="79">
        <f>Tabela134[[#This Row],[ OLD PRICE]]*(1-Tabela134[[#This Row],[DISCOUNT per piece '[%']]])</f>
        <v>137.6</v>
      </c>
      <c r="L126" s="79">
        <f>Tabela134[[#This Row],[PCS]]*Tabela134[[#This Row],[PROMOTIONAL PRICE]]</f>
        <v>0</v>
      </c>
      <c r="M126" s="492" cm="1">
        <f t="array" ref="M126">ROUNDUP(Tabela134[[#This Row],[NEW PRICE]]*eurofxref_daily[],2)</f>
        <v>333.03</v>
      </c>
      <c r="N126" s="493">
        <f>Tabela134[[#This Row],[CAD PRICE]]*O126</f>
        <v>0</v>
      </c>
      <c r="O126" s="127">
        <f>SUM(Tabela134[[#This Row],[RAL 1023]:[Clear Wood]])</f>
        <v>0</v>
      </c>
      <c r="P126" s="128">
        <f>Tabela134[[#This Row],[PCS]]*Tabela134[[#This Row],[Weight (kg)]]</f>
        <v>0</v>
      </c>
      <c r="Q126" s="395" t="s">
        <v>2067</v>
      </c>
      <c r="R126" s="482"/>
      <c r="S126" s="486"/>
      <c r="T126" s="466"/>
      <c r="U126" s="435"/>
      <c r="V126" s="467"/>
      <c r="W126" s="468"/>
      <c r="X126" s="436"/>
      <c r="Y126" s="470"/>
      <c r="Z126" s="469"/>
      <c r="AA126" s="449"/>
      <c r="AB126" s="334"/>
      <c r="AC126" s="334"/>
      <c r="AD126" s="340"/>
    </row>
    <row r="127" spans="1:30" ht="15.75" thickBot="1" x14ac:dyDescent="0.3">
      <c r="C127" s="336" t="s">
        <v>1826</v>
      </c>
      <c r="D127" s="255" t="s">
        <v>1812</v>
      </c>
      <c r="E127" s="48" t="s">
        <v>1852</v>
      </c>
      <c r="F127" s="47">
        <v>12</v>
      </c>
      <c r="G127" s="224">
        <v>211</v>
      </c>
      <c r="H127" s="224">
        <f>ROUNDUP(Tabela134[[#This Row],[ OLD PRICE]]*(1+PRICES!$C$3),0)</f>
        <v>254</v>
      </c>
      <c r="I127" s="79">
        <v>0.2</v>
      </c>
      <c r="J127" s="79">
        <f>Tabela134[[#This Row],[ OLD PRICE]]*Tabela134[[#This Row],[DISCOUNT per piece '[%']]]</f>
        <v>42.2</v>
      </c>
      <c r="K127" s="79">
        <f>Tabela134[[#This Row],[ OLD PRICE]]*(1-Tabela134[[#This Row],[DISCOUNT per piece '[%']]])</f>
        <v>168.8</v>
      </c>
      <c r="L127" s="79">
        <f>Tabela134[[#This Row],[PCS]]*Tabela134[[#This Row],[PROMOTIONAL PRICE]]</f>
        <v>0</v>
      </c>
      <c r="M127" s="492" cm="1">
        <f t="array" ref="M127">ROUNDUP(Tabela134[[#This Row],[NEW PRICE]]*eurofxref_daily[],2)</f>
        <v>408.64</v>
      </c>
      <c r="N127" s="493">
        <f>Tabela134[[#This Row],[CAD PRICE]]*O127</f>
        <v>0</v>
      </c>
      <c r="O127" s="127">
        <f>SUM(Tabela134[[#This Row],[RAL 1023]:[Clear Wood]])</f>
        <v>0</v>
      </c>
      <c r="P127" s="128">
        <f>Tabela134[[#This Row],[PCS]]*Tabela134[[#This Row],[Weight (kg)]]</f>
        <v>0</v>
      </c>
      <c r="Q127" s="395" t="s">
        <v>2067</v>
      </c>
      <c r="R127" s="482"/>
      <c r="S127" s="486"/>
      <c r="T127" s="466"/>
      <c r="U127" s="435"/>
      <c r="V127" s="467"/>
      <c r="W127" s="468"/>
      <c r="X127" s="436"/>
      <c r="Y127" s="470"/>
      <c r="Z127" s="469"/>
      <c r="AA127" s="449"/>
      <c r="AB127" s="334"/>
      <c r="AC127" s="334"/>
      <c r="AD127" s="340"/>
    </row>
    <row r="128" spans="1:30" ht="15.75" thickBot="1" x14ac:dyDescent="0.3">
      <c r="A128"/>
      <c r="C128" s="336" t="s">
        <v>1827</v>
      </c>
      <c r="D128" s="255" t="s">
        <v>1813</v>
      </c>
      <c r="E128" s="48" t="s">
        <v>1853</v>
      </c>
      <c r="F128" s="47">
        <v>6.75</v>
      </c>
      <c r="G128" s="224">
        <v>166</v>
      </c>
      <c r="H128" s="224">
        <f>ROUNDUP(Tabela134[[#This Row],[ OLD PRICE]]*(1+PRICES!$C$3),0)</f>
        <v>200</v>
      </c>
      <c r="I128" s="79">
        <v>0.2</v>
      </c>
      <c r="J128" s="79">
        <f>Tabela134[[#This Row],[ OLD PRICE]]*Tabela134[[#This Row],[DISCOUNT per piece '[%']]]</f>
        <v>33.200000000000003</v>
      </c>
      <c r="K128" s="79">
        <f>Tabela134[[#This Row],[ OLD PRICE]]*(1-Tabela134[[#This Row],[DISCOUNT per piece '[%']]])</f>
        <v>132.80000000000001</v>
      </c>
      <c r="L128" s="79">
        <f>Tabela134[[#This Row],[PCS]]*Tabela134[[#This Row],[PROMOTIONAL PRICE]]</f>
        <v>0</v>
      </c>
      <c r="M128" s="492" cm="1">
        <f t="array" ref="M128">ROUNDUP(Tabela134[[#This Row],[NEW PRICE]]*eurofxref_daily[],2)</f>
        <v>321.76</v>
      </c>
      <c r="N128" s="493">
        <f>Tabela134[[#This Row],[CAD PRICE]]*O128</f>
        <v>0</v>
      </c>
      <c r="O128" s="127">
        <f>SUM(Tabela134[[#This Row],[RAL 1023]:[Clear Wood]])</f>
        <v>0</v>
      </c>
      <c r="P128" s="128">
        <f>Tabela134[[#This Row],[PCS]]*Tabela134[[#This Row],[Weight (kg)]]</f>
        <v>0</v>
      </c>
      <c r="Q128" s="395" t="s">
        <v>2067</v>
      </c>
      <c r="R128" s="482"/>
      <c r="S128" s="486"/>
      <c r="T128" s="466"/>
      <c r="U128" s="435"/>
      <c r="V128" s="467"/>
      <c r="W128" s="468"/>
      <c r="X128" s="436"/>
      <c r="Y128" s="470"/>
      <c r="Z128" s="469"/>
      <c r="AA128" s="449"/>
      <c r="AB128" s="334"/>
      <c r="AC128" s="334"/>
      <c r="AD128" s="340"/>
    </row>
    <row r="129" spans="3:30" ht="15.75" thickBot="1" x14ac:dyDescent="0.3">
      <c r="C129" s="336" t="s">
        <v>1828</v>
      </c>
      <c r="D129" s="255" t="s">
        <v>1814</v>
      </c>
      <c r="E129" s="48" t="s">
        <v>1854</v>
      </c>
      <c r="F129" s="47">
        <v>18</v>
      </c>
      <c r="G129" s="224">
        <v>397</v>
      </c>
      <c r="H129" s="224">
        <f>ROUNDUP(Tabela134[[#This Row],[ OLD PRICE]]*(1+PRICES!$C$3),0)</f>
        <v>477</v>
      </c>
      <c r="I129" s="79">
        <v>0.2</v>
      </c>
      <c r="J129" s="79">
        <f>Tabela134[[#This Row],[ OLD PRICE]]*Tabela134[[#This Row],[DISCOUNT per piece '[%']]]</f>
        <v>79.400000000000006</v>
      </c>
      <c r="K129" s="79">
        <f>Tabela134[[#This Row],[ OLD PRICE]]*(1-Tabela134[[#This Row],[DISCOUNT per piece '[%']]])</f>
        <v>317.60000000000002</v>
      </c>
      <c r="L129" s="79">
        <f>Tabela134[[#This Row],[PCS]]*Tabela134[[#This Row],[PROMOTIONAL PRICE]]</f>
        <v>0</v>
      </c>
      <c r="M129" s="492" cm="1">
        <f t="array" ref="M129">ROUNDUP(Tabela134[[#This Row],[NEW PRICE]]*eurofxref_daily[],2)</f>
        <v>767.4</v>
      </c>
      <c r="N129" s="493">
        <f>Tabela134[[#This Row],[CAD PRICE]]*O129</f>
        <v>0</v>
      </c>
      <c r="O129" s="127">
        <f>SUM(Tabela134[[#This Row],[RAL 1023]:[Clear Wood]])</f>
        <v>0</v>
      </c>
      <c r="P129" s="128">
        <f>Tabela134[[#This Row],[PCS]]*Tabela134[[#This Row],[Weight (kg)]]</f>
        <v>0</v>
      </c>
      <c r="Q129" s="395" t="s">
        <v>2067</v>
      </c>
      <c r="R129" s="482"/>
      <c r="S129" s="486"/>
      <c r="T129" s="466"/>
      <c r="U129" s="435"/>
      <c r="V129" s="467"/>
      <c r="W129" s="468"/>
      <c r="X129" s="436"/>
      <c r="Y129" s="470"/>
      <c r="Z129" s="469"/>
      <c r="AA129" s="449"/>
      <c r="AB129" s="334"/>
      <c r="AC129" s="334"/>
      <c r="AD129" s="340"/>
    </row>
    <row r="130" spans="3:30" ht="15.75" thickBot="1" x14ac:dyDescent="0.3">
      <c r="C130" s="336" t="s">
        <v>1829</v>
      </c>
      <c r="D130" s="255" t="s">
        <v>1815</v>
      </c>
      <c r="E130" s="48" t="s">
        <v>1855</v>
      </c>
      <c r="F130" s="47">
        <v>26.25</v>
      </c>
      <c r="G130" s="224">
        <v>537</v>
      </c>
      <c r="H130" s="224">
        <f>ROUNDUP(Tabela134[[#This Row],[ OLD PRICE]]*(1+PRICES!$C$3),0)</f>
        <v>645</v>
      </c>
      <c r="I130" s="79">
        <v>0.2</v>
      </c>
      <c r="J130" s="79">
        <f>Tabela134[[#This Row],[ OLD PRICE]]*Tabela134[[#This Row],[DISCOUNT per piece '[%']]]</f>
        <v>107.4</v>
      </c>
      <c r="K130" s="79">
        <f>Tabela134[[#This Row],[ OLD PRICE]]*(1-Tabela134[[#This Row],[DISCOUNT per piece '[%']]])</f>
        <v>429.6</v>
      </c>
      <c r="L130" s="79">
        <f>Tabela134[[#This Row],[PCS]]*Tabela134[[#This Row],[PROMOTIONAL PRICE]]</f>
        <v>0</v>
      </c>
      <c r="M130" s="492" cm="1">
        <f t="array" ref="M130">ROUNDUP(Tabela134[[#This Row],[NEW PRICE]]*eurofxref_daily[],2)</f>
        <v>1037.68</v>
      </c>
      <c r="N130" s="493">
        <f>Tabela134[[#This Row],[CAD PRICE]]*O130</f>
        <v>0</v>
      </c>
      <c r="O130" s="127">
        <f>SUM(Tabela134[[#This Row],[RAL 1023]:[Clear Wood]])</f>
        <v>0</v>
      </c>
      <c r="P130" s="128">
        <f>Tabela134[[#This Row],[PCS]]*Tabela134[[#This Row],[Weight (kg)]]</f>
        <v>0</v>
      </c>
      <c r="Q130" s="395" t="s">
        <v>2067</v>
      </c>
      <c r="R130" s="482"/>
      <c r="S130" s="486"/>
      <c r="T130" s="466"/>
      <c r="U130" s="435"/>
      <c r="V130" s="467"/>
      <c r="W130" s="468"/>
      <c r="X130" s="436"/>
      <c r="Y130" s="470"/>
      <c r="Z130" s="469"/>
      <c r="AA130" s="449"/>
      <c r="AB130" s="334"/>
      <c r="AC130" s="334"/>
      <c r="AD130" s="340"/>
    </row>
    <row r="131" spans="3:30" ht="15.75" thickBot="1" x14ac:dyDescent="0.3">
      <c r="C131" s="336" t="s">
        <v>1830</v>
      </c>
      <c r="D131" s="255" t="s">
        <v>1816</v>
      </c>
      <c r="E131" s="48" t="s">
        <v>1856</v>
      </c>
      <c r="F131" s="47">
        <v>16.5</v>
      </c>
      <c r="G131" s="224">
        <v>261</v>
      </c>
      <c r="H131" s="224">
        <f>ROUNDUP(Tabela134[[#This Row],[ OLD PRICE]]*(1+PRICES!$C$3),0)</f>
        <v>314</v>
      </c>
      <c r="I131" s="79">
        <v>0.2</v>
      </c>
      <c r="J131" s="79">
        <f>Tabela134[[#This Row],[ OLD PRICE]]*Tabela134[[#This Row],[DISCOUNT per piece '[%']]]</f>
        <v>52.2</v>
      </c>
      <c r="K131" s="79">
        <f>Tabela134[[#This Row],[ OLD PRICE]]*(1-Tabela134[[#This Row],[DISCOUNT per piece '[%']]])</f>
        <v>208.8</v>
      </c>
      <c r="L131" s="79">
        <f>Tabela134[[#This Row],[PCS]]*Tabela134[[#This Row],[PROMOTIONAL PRICE]]</f>
        <v>0</v>
      </c>
      <c r="M131" s="492" cm="1">
        <f t="array" ref="M131">ROUNDUP(Tabela134[[#This Row],[NEW PRICE]]*eurofxref_daily[],2)</f>
        <v>505.17</v>
      </c>
      <c r="N131" s="493">
        <f>Tabela134[[#This Row],[CAD PRICE]]*O131</f>
        <v>0</v>
      </c>
      <c r="O131" s="127">
        <f>SUM(Tabela134[[#This Row],[RAL 1023]:[Clear Wood]])</f>
        <v>0</v>
      </c>
      <c r="P131" s="128">
        <f>Tabela134[[#This Row],[PCS]]*Tabela134[[#This Row],[Weight (kg)]]</f>
        <v>0</v>
      </c>
      <c r="Q131" s="395" t="s">
        <v>2067</v>
      </c>
      <c r="R131" s="482"/>
      <c r="S131" s="486"/>
      <c r="T131" s="466"/>
      <c r="U131" s="435"/>
      <c r="V131" s="467"/>
      <c r="W131" s="468"/>
      <c r="X131" s="436"/>
      <c r="Y131" s="470"/>
      <c r="Z131" s="469"/>
      <c r="AA131" s="449"/>
      <c r="AB131" s="334"/>
      <c r="AC131" s="334"/>
      <c r="AD131" s="340"/>
    </row>
    <row r="132" spans="3:30" ht="15.75" thickBot="1" x14ac:dyDescent="0.3">
      <c r="C132" s="336" t="s">
        <v>1831</v>
      </c>
      <c r="D132" s="255" t="s">
        <v>1817</v>
      </c>
      <c r="E132" s="48" t="s">
        <v>1857</v>
      </c>
      <c r="F132" s="47">
        <v>28.5</v>
      </c>
      <c r="G132" s="224">
        <v>370</v>
      </c>
      <c r="H132" s="224">
        <f>ROUNDUP(Tabela134[[#This Row],[ OLD PRICE]]*(1+PRICES!$C$3),0)</f>
        <v>444</v>
      </c>
      <c r="I132" s="79">
        <v>0.2</v>
      </c>
      <c r="J132" s="79">
        <f>Tabela134[[#This Row],[ OLD PRICE]]*Tabela134[[#This Row],[DISCOUNT per piece '[%']]]</f>
        <v>74</v>
      </c>
      <c r="K132" s="79">
        <f>Tabela134[[#This Row],[ OLD PRICE]]*(1-Tabela134[[#This Row],[DISCOUNT per piece '[%']]])</f>
        <v>296</v>
      </c>
      <c r="L132" s="79">
        <f>Tabela134[[#This Row],[PCS]]*Tabela134[[#This Row],[PROMOTIONAL PRICE]]</f>
        <v>0</v>
      </c>
      <c r="M132" s="492" cm="1">
        <f t="array" ref="M132">ROUNDUP(Tabela134[[#This Row],[NEW PRICE]]*eurofxref_daily[],2)</f>
        <v>714.31</v>
      </c>
      <c r="N132" s="493">
        <f>Tabela134[[#This Row],[CAD PRICE]]*O132</f>
        <v>0</v>
      </c>
      <c r="O132" s="127">
        <f>SUM(Tabela134[[#This Row],[RAL 1023]:[Clear Wood]])</f>
        <v>0</v>
      </c>
      <c r="P132" s="128">
        <f>Tabela134[[#This Row],[PCS]]*Tabela134[[#This Row],[Weight (kg)]]</f>
        <v>0</v>
      </c>
      <c r="Q132" s="395" t="s">
        <v>2067</v>
      </c>
      <c r="R132" s="482"/>
      <c r="S132" s="486"/>
      <c r="T132" s="466"/>
      <c r="U132" s="435"/>
      <c r="V132" s="467"/>
      <c r="W132" s="468"/>
      <c r="X132" s="436"/>
      <c r="Y132" s="470"/>
      <c r="Z132" s="469"/>
      <c r="AA132" s="449"/>
      <c r="AB132" s="334"/>
      <c r="AC132" s="334"/>
      <c r="AD132" s="340"/>
    </row>
    <row r="133" spans="3:30" ht="15.75" thickBot="1" x14ac:dyDescent="0.3">
      <c r="C133" s="336" t="s">
        <v>1832</v>
      </c>
      <c r="D133" s="255" t="s">
        <v>1818</v>
      </c>
      <c r="E133" s="48" t="s">
        <v>1858</v>
      </c>
      <c r="F133" s="47">
        <v>42</v>
      </c>
      <c r="G133" s="224">
        <v>490</v>
      </c>
      <c r="H133" s="224">
        <f>ROUNDUP(Tabela134[[#This Row],[ OLD PRICE]]*(1+PRICES!$C$3),0)</f>
        <v>588</v>
      </c>
      <c r="I133" s="79">
        <v>0.2</v>
      </c>
      <c r="J133" s="79">
        <f>Tabela134[[#This Row],[ OLD PRICE]]*Tabela134[[#This Row],[DISCOUNT per piece '[%']]]</f>
        <v>98</v>
      </c>
      <c r="K133" s="79">
        <f>Tabela134[[#This Row],[ OLD PRICE]]*(1-Tabela134[[#This Row],[DISCOUNT per piece '[%']]])</f>
        <v>392</v>
      </c>
      <c r="L133" s="79">
        <f>Tabela134[[#This Row],[PCS]]*Tabela134[[#This Row],[PROMOTIONAL PRICE]]</f>
        <v>0</v>
      </c>
      <c r="M133" s="492" cm="1">
        <f t="array" ref="M133">ROUNDUP(Tabela134[[#This Row],[NEW PRICE]]*eurofxref_daily[],2)</f>
        <v>945.98</v>
      </c>
      <c r="N133" s="493">
        <f>Tabela134[[#This Row],[CAD PRICE]]*O133</f>
        <v>0</v>
      </c>
      <c r="O133" s="127">
        <f>SUM(Tabela134[[#This Row],[RAL 1023]:[Clear Wood]])</f>
        <v>0</v>
      </c>
      <c r="P133" s="128">
        <f>Tabela134[[#This Row],[PCS]]*Tabela134[[#This Row],[Weight (kg)]]</f>
        <v>0</v>
      </c>
      <c r="Q133" s="395" t="s">
        <v>2067</v>
      </c>
      <c r="R133" s="482"/>
      <c r="S133" s="486"/>
      <c r="T133" s="466"/>
      <c r="U133" s="435"/>
      <c r="V133" s="467"/>
      <c r="W133" s="468"/>
      <c r="X133" s="436"/>
      <c r="Y133" s="470"/>
      <c r="Z133" s="469"/>
      <c r="AA133" s="449"/>
      <c r="AB133" s="334"/>
      <c r="AC133" s="334"/>
      <c r="AD133" s="340"/>
    </row>
    <row r="134" spans="3:30" x14ac:dyDescent="0.25">
      <c r="C134" s="336" t="s">
        <v>1833</v>
      </c>
      <c r="D134" s="255" t="s">
        <v>1819</v>
      </c>
      <c r="E134" s="48" t="s">
        <v>1859</v>
      </c>
      <c r="F134" s="47">
        <v>25.5</v>
      </c>
      <c r="G134" s="224">
        <v>341</v>
      </c>
      <c r="H134" s="224">
        <f>ROUNDUP(Tabela134[[#This Row],[ OLD PRICE]]*(1+PRICES!$C$3),0)</f>
        <v>410</v>
      </c>
      <c r="I134" s="79">
        <v>0.2</v>
      </c>
      <c r="J134" s="79">
        <f>Tabela134[[#This Row],[ OLD PRICE]]*Tabela134[[#This Row],[DISCOUNT per piece '[%']]]</f>
        <v>68.2</v>
      </c>
      <c r="K134" s="79">
        <f>Tabela134[[#This Row],[ OLD PRICE]]*(1-Tabela134[[#This Row],[DISCOUNT per piece '[%']]])</f>
        <v>272.8</v>
      </c>
      <c r="L134" s="79">
        <f>Tabela134[[#This Row],[PCS]]*Tabela134[[#This Row],[PROMOTIONAL PRICE]]</f>
        <v>0</v>
      </c>
      <c r="M134" s="492" cm="1">
        <f t="array" ref="M134">ROUNDUP(Tabela134[[#This Row],[NEW PRICE]]*eurofxref_daily[],2)</f>
        <v>659.61</v>
      </c>
      <c r="N134" s="493">
        <f>Tabela134[[#This Row],[CAD PRICE]]*O134</f>
        <v>0</v>
      </c>
      <c r="O134" s="127">
        <f>SUM(Tabela134[[#This Row],[RAL 1023]:[Clear Wood]])</f>
        <v>0</v>
      </c>
      <c r="P134" s="150">
        <f>Tabela134[[#This Row],[PCS]]*Tabela134[[#This Row],[Weight (kg)]]</f>
        <v>0</v>
      </c>
      <c r="Q134" s="395" t="s">
        <v>2067</v>
      </c>
      <c r="R134" s="482"/>
      <c r="S134" s="486"/>
      <c r="T134" s="466"/>
      <c r="U134" s="435"/>
      <c r="V134" s="467"/>
      <c r="W134" s="468"/>
      <c r="X134" s="436"/>
      <c r="Y134" s="470"/>
      <c r="Z134" s="469"/>
      <c r="AA134" s="449"/>
      <c r="AB134" s="334"/>
      <c r="AC134" s="334"/>
      <c r="AD134" s="340"/>
    </row>
  </sheetData>
  <sheetProtection algorithmName="SHA-512" hashValue="YNruk8fdIHnlINM/pRJXH6u0lMeZcGQJdp5NthGkHFUGXth3whA//Z4TSCB4b7HTDOSF+rjN6Nxgn2umvev3cQ==" saltValue="n1uCuHUR90ib5AEsSmmQ5g==" spinCount="100000" sheet="1" objects="1" scenarios="1"/>
  <mergeCells count="5">
    <mergeCell ref="N4:P4"/>
    <mergeCell ref="C3:D3"/>
    <mergeCell ref="C4:D4"/>
    <mergeCell ref="E3:F3"/>
    <mergeCell ref="E4:F4"/>
  </mergeCells>
  <phoneticPr fontId="14" type="noConversion"/>
  <dataValidations count="1">
    <dataValidation type="list" allowBlank="1" showInputMessage="1" showErrorMessage="1" sqref="Q94:Q111 Q126:Q134 Q113:Q121" xr:uid="{93DBBF21-A3A0-4E09-BEE4-0A9FC1A45AE1}">
      <formula1>$R$7:$AC$7</formula1>
    </dataValidation>
  </dataValidations>
  <hyperlinks>
    <hyperlink ref="C9" r:id="rId1" xr:uid="{4374CBF0-AD69-439D-BA8E-05A28A33E448}"/>
    <hyperlink ref="C10" r:id="rId2" xr:uid="{D680E10F-EFD5-4F60-8607-A10EF06479CC}"/>
    <hyperlink ref="C11" r:id="rId3" xr:uid="{1003ACA6-33CC-4FF7-87FF-F695FA5B4F5E}"/>
    <hyperlink ref="C12" r:id="rId4" xr:uid="{96981E27-F507-498E-8C94-6D0226C63B49}"/>
    <hyperlink ref="C13" r:id="rId5" xr:uid="{EA4AE6E9-4E5E-42A9-8FA7-B6DA40359BFB}"/>
    <hyperlink ref="C14" r:id="rId6" xr:uid="{06A786D4-996D-47EE-9B6E-C7623803A838}"/>
    <hyperlink ref="C15" r:id="rId7" xr:uid="{2E78C6BF-CC26-4A20-A66E-E3DCECD8C7FF}"/>
    <hyperlink ref="C16" r:id="rId8" xr:uid="{CADC5A7D-6DFF-4728-A56A-7E07027F2045}"/>
    <hyperlink ref="C17" r:id="rId9" xr:uid="{45F2166F-03A6-4331-85F9-EA5CE653A255}"/>
    <hyperlink ref="C18" r:id="rId10" xr:uid="{E0AD4B0B-A2D6-490A-B0DC-B4A84180B54C}"/>
    <hyperlink ref="C19" r:id="rId11" xr:uid="{59C03BA7-B770-437E-B4A5-83AFE7F114F7}"/>
    <hyperlink ref="C20" r:id="rId12" xr:uid="{6EDA0C8C-B327-4AAC-96FD-F76EC7CEF60A}"/>
    <hyperlink ref="C29" r:id="rId13" xr:uid="{36A5A90C-7B7E-4C03-9F3F-82759809BF61}"/>
    <hyperlink ref="C28" r:id="rId14" xr:uid="{A9482326-B275-468D-8ED4-A80CAF5B6362}"/>
    <hyperlink ref="C27" r:id="rId15" xr:uid="{1CE8A262-D32E-4098-890E-24BA08160BC5}"/>
    <hyperlink ref="C26" r:id="rId16" xr:uid="{FE14A2DD-F662-4C4D-A9A4-314CAF6EF4C3}"/>
    <hyperlink ref="C25" r:id="rId17" xr:uid="{2C9918B3-4F10-4D69-8E31-F18E3DB93D11}"/>
    <hyperlink ref="C24" r:id="rId18" xr:uid="{198010CF-90C0-4220-A2F1-2C8E6CF3EE94}"/>
    <hyperlink ref="C23" r:id="rId19" xr:uid="{35203A6D-2F4C-4ED9-8751-0746F1D251C2}"/>
    <hyperlink ref="C22" r:id="rId20" xr:uid="{48DBEEDC-B279-497B-81E5-E776458A5035}"/>
    <hyperlink ref="C31" r:id="rId21" xr:uid="{6D556BE1-882D-4BE3-AFFE-7C6E71187D18}"/>
    <hyperlink ref="C32" r:id="rId22" xr:uid="{58AB6D11-EA7E-4FEF-AE46-BCBFC1F7C2D2}"/>
    <hyperlink ref="C33" r:id="rId23" xr:uid="{FBF73B2D-C6D9-458D-9038-C614C23E4398}"/>
    <hyperlink ref="C34" r:id="rId24" xr:uid="{B02FE8BC-C384-410D-8969-80525F03E719}"/>
    <hyperlink ref="C35" r:id="rId25" xr:uid="{49D8FE6F-BF27-4324-9744-4404B6785D26}"/>
    <hyperlink ref="C36" r:id="rId26" xr:uid="{F6A92214-01EC-4845-B569-5B5B8386DCF9}"/>
    <hyperlink ref="C37" r:id="rId27" xr:uid="{0D88EDA8-F23E-4354-9AD0-479FDF800967}"/>
    <hyperlink ref="C38" r:id="rId28" xr:uid="{05540BF3-3A15-4F04-BB9D-0D19724C4684}"/>
    <hyperlink ref="C39" r:id="rId29" display="https://climbinggymheaven.com/product/trios-octus-45_1/" xr:uid="{2EE71976-596E-4438-AFCE-6265FABD1D1C}"/>
    <hyperlink ref="C40" r:id="rId30" display="https://climbinggymheaven.com/product/trios-octus-45_2/" xr:uid="{E6AEB637-A0AB-4886-9E21-54459F3B009C}"/>
    <hyperlink ref="C41" r:id="rId31" display="https://climbinggymheaven.com/product/trios-octus-45_3/" xr:uid="{D1B3B324-14AA-4E5E-88F1-F0929998BB3F}"/>
    <hyperlink ref="C42" r:id="rId32" display="https://climbinggymheaven.com/product/trios-octus-45_4/" xr:uid="{A12ACADF-C85B-42FD-8C2E-9057F0CA50D0}"/>
    <hyperlink ref="C43" r:id="rId33" display="https://climbinggymheaven.com/product/trios-octus-45_5/" xr:uid="{D635D165-B1CA-4B80-9A7E-95D0F6713D42}"/>
    <hyperlink ref="C44" r:id="rId34" display="https://climbinggymheaven.com/product/trios-octus-45_6/" xr:uid="{018538A9-87F2-4910-8CB6-6AB0F5D1C26E}"/>
    <hyperlink ref="C45" r:id="rId35" display="https://climbinggymheaven.com/product/trios-octus-45_7/" xr:uid="{61BC5DE8-A235-431B-9CF8-C52EE30F4857}"/>
    <hyperlink ref="C46" r:id="rId36" display="https://climbinggymheaven.com/product/trios-octus-45_8/" xr:uid="{5DD811B4-CECF-47EC-993D-E0CC3BF4031C}"/>
    <hyperlink ref="C51" r:id="rId37" display="Butterfy 2 R" xr:uid="{A280DA1C-EE7E-4763-810E-4A3F5960AC98}"/>
    <hyperlink ref="C52" r:id="rId38" display="Butterfy 3 L" xr:uid="{4BD58ED5-75D9-4705-A599-61134E989D0B}"/>
    <hyperlink ref="C53" r:id="rId39" display="Butterfy 3 R" xr:uid="{F1638E1C-5F62-49BF-8DEF-12951F8D3DAF}"/>
    <hyperlink ref="C54" r:id="rId40" display="Butterfy 4 L" xr:uid="{9702390A-DBA9-42B0-B95C-EE388DC3E2D9}"/>
    <hyperlink ref="C55" r:id="rId41" display="Butterfy 4 R" xr:uid="{F3DCC4D7-0A83-4260-B955-D5C0CCA7345B}"/>
    <hyperlink ref="C56" r:id="rId42" display="Butterfy 5 L" xr:uid="{59E79B6C-1C57-40E2-A8BA-4ABDB916E14D}"/>
    <hyperlink ref="C57" r:id="rId43" display="Butterfy 5 R" xr:uid="{C46CE24E-C3E3-484C-A399-FC7DEDF3CC6F}"/>
    <hyperlink ref="C58" r:id="rId44" display="Butterfy 6 L" xr:uid="{F894D5D6-B432-4A99-9231-8C0F9C918A74}"/>
    <hyperlink ref="C59" r:id="rId45" display="Butterfy 6 R" xr:uid="{E1845201-0845-4E45-A446-EAE7D410CBE5}"/>
    <hyperlink ref="C60" r:id="rId46" display="Butterfy 7 L" xr:uid="{F91A6332-DB15-4EB6-A24F-88743E90DC72}"/>
    <hyperlink ref="C61" r:id="rId47" display="Butterfy 7 R" xr:uid="{5AF19317-C8A3-46DA-82BD-E212043B0C9B}"/>
    <hyperlink ref="C62" r:id="rId48" display="Butterfy 8 L" xr:uid="{19B2B1F5-8F6B-479B-B1A1-DE5376EAF000}"/>
    <hyperlink ref="C63" r:id="rId49" display="Butterfy 8 R" xr:uid="{2AC401F0-A397-4795-9751-778D16966B52}"/>
    <hyperlink ref="C64" r:id="rId50" display="Butterfy 9 L" xr:uid="{4C531975-913F-4FAC-8509-1A6EADBFA713}"/>
    <hyperlink ref="C65" r:id="rId51" display="Butterfy 9 R" xr:uid="{C3EEE521-1AC5-4AE5-A621-7B18172EF03D}"/>
    <hyperlink ref="C66" r:id="rId52" display="Butterfy 10 L" xr:uid="{86183D1F-B844-4279-ABA8-5518A506499D}"/>
    <hyperlink ref="C67" r:id="rId53" display="Butterfy 10 R" xr:uid="{6E2E1498-440E-4F2D-A232-7D908EF5D83C}"/>
    <hyperlink ref="C69" r:id="rId54" xr:uid="{6272EA29-9513-4453-AE42-CD832DFE12E1}"/>
    <hyperlink ref="C70" r:id="rId55" xr:uid="{7F8B2AFE-9D88-451A-89B6-FB3FCD955E47}"/>
    <hyperlink ref="C71" r:id="rId56" xr:uid="{AC691689-7909-4690-B829-AD1FAFAB67FC}"/>
    <hyperlink ref="C72" r:id="rId57" xr:uid="{99CCB569-43B3-4AA9-8329-C0E98AEBBE09}"/>
    <hyperlink ref="C73" r:id="rId58" xr:uid="{B1691137-C735-422E-87AA-F645301DFBAB}"/>
    <hyperlink ref="C74" r:id="rId59" xr:uid="{E2137DFE-E1BA-4760-85F0-6F9E6A050563}"/>
    <hyperlink ref="C75" r:id="rId60" xr:uid="{559FD6E4-BA4F-419C-BDFF-B6BB7DA0E716}"/>
    <hyperlink ref="C76" r:id="rId61" xr:uid="{DBC3E0F8-B58B-4DE2-A315-DE8F5A6DD2C5}"/>
    <hyperlink ref="C77" r:id="rId62" xr:uid="{C456D979-49E8-467A-AF1B-EB7684E8C860}"/>
    <hyperlink ref="C78" r:id="rId63" xr:uid="{2BA72023-3C68-4B8C-91CE-E0D26A75F279}"/>
    <hyperlink ref="C79" r:id="rId64" xr:uid="{65E757CE-2E79-45A9-804B-4C3229E4F0DC}"/>
    <hyperlink ref="C80" r:id="rId65" xr:uid="{77F4D88F-94D3-4E50-A126-0408FB4FCFC8}"/>
    <hyperlink ref="C81" r:id="rId66" xr:uid="{897B344A-77AD-461E-8DEF-DCA8C9E60BD9}"/>
    <hyperlink ref="C82" r:id="rId67" xr:uid="{FBD3070D-C5D5-479D-A4EE-07A628D45C36}"/>
    <hyperlink ref="C83" r:id="rId68" xr:uid="{E992E592-79F4-45E6-A0D1-894B00A43AC2}"/>
    <hyperlink ref="C84" r:id="rId69" xr:uid="{94EEE64A-D1C5-4BA0-88BB-EC0850A3CCDF}"/>
    <hyperlink ref="C85" r:id="rId70" xr:uid="{5C527C49-A3E2-461C-B6FB-62763BFC598A}"/>
    <hyperlink ref="C86" r:id="rId71" xr:uid="{24933878-308B-4BE1-8EC8-7C31CEB36F9C}"/>
    <hyperlink ref="C87" r:id="rId72" xr:uid="{AE1E8DE5-50BD-4824-A81D-D855BB121EA4}"/>
    <hyperlink ref="C88" r:id="rId73" xr:uid="{2DBD2C4B-5F3A-43FD-B36F-B8E4255E551A}"/>
    <hyperlink ref="C89" r:id="rId74" xr:uid="{3083A28D-BB70-4C08-870A-D03FCFAF89C8}"/>
    <hyperlink ref="C90" r:id="rId75" xr:uid="{62801F41-1800-4FCC-B3FA-3C25AAFAC6C0}"/>
    <hyperlink ref="C91" r:id="rId76" xr:uid="{81217380-3CA9-48F5-A4FC-72E119A210BB}"/>
    <hyperlink ref="C92" r:id="rId77" xr:uid="{24F137EE-A361-4311-85EA-5EA2E5827DED}"/>
    <hyperlink ref="C48" r:id="rId78" display="Butterfy 1 L" xr:uid="{A99AD897-3670-46CD-8B41-448F9F7741D9}"/>
    <hyperlink ref="C49" r:id="rId79" display="Butterfy 1 L" xr:uid="{ABF1D933-BDB6-4AEE-AA2F-83784EB3ED48}"/>
    <hyperlink ref="C50" r:id="rId80" display="Butterfy 2 L" xr:uid="{704ADA56-BFD5-4FDF-ACE5-4EBE29FE86E0}"/>
    <hyperlink ref="C94" r:id="rId81" xr:uid="{C8E2796B-408B-4FE4-A00D-853D61B5A56B}"/>
    <hyperlink ref="C95" r:id="rId82" xr:uid="{7465D3EC-0D85-4AFF-8084-F2326A79370C}"/>
    <hyperlink ref="C98" r:id="rId83" xr:uid="{76D17B07-127B-4481-BC4D-2B22D901D539}"/>
    <hyperlink ref="C100" r:id="rId84" xr:uid="{B6E971D1-6951-4945-B996-DEA7C0EFA18C}"/>
    <hyperlink ref="C102" r:id="rId85" xr:uid="{A1C52E62-B631-4A07-8DC9-EB7F818BB82D}"/>
    <hyperlink ref="C104" r:id="rId86" xr:uid="{69C670BD-CAC9-415A-BF7C-DFDF38564EE5}"/>
    <hyperlink ref="C106" r:id="rId87" xr:uid="{DA948A23-E137-4C70-AACA-1F043C562A28}"/>
    <hyperlink ref="C108" r:id="rId88" xr:uid="{26D2A05E-F780-4808-9578-3E7CD001F16B}"/>
    <hyperlink ref="C110" r:id="rId89" xr:uid="{E7AEC6C5-8B2A-4100-B982-40E7946BDF7B}"/>
    <hyperlink ref="C97" r:id="rId90" xr:uid="{606D4AFC-733C-40E5-812D-0AB95D64BB97}"/>
    <hyperlink ref="C99" r:id="rId91" xr:uid="{A79CC7E5-637E-4090-82C1-FF9E5A7B7B75}"/>
    <hyperlink ref="C101" r:id="rId92" xr:uid="{C9C9DBC2-329A-47C9-93F6-9EB6FAE02A4C}"/>
    <hyperlink ref="C103" r:id="rId93" xr:uid="{94D82FB7-3390-4454-97FC-0F8657FDA6A7}"/>
    <hyperlink ref="C105" r:id="rId94" xr:uid="{B9A88A8F-B849-496D-B98B-90AE80AA9ACE}"/>
    <hyperlink ref="C107" r:id="rId95" xr:uid="{9B42EC00-6FAD-438A-A9E6-93DEEC414A7E}"/>
    <hyperlink ref="C109" r:id="rId96" xr:uid="{F042E3DA-C471-4E58-8DEC-C587A193382C}"/>
    <hyperlink ref="C111" r:id="rId97" xr:uid="{30EAA717-46BF-409A-8EF7-EAEA4B3A7F52}"/>
    <hyperlink ref="C96" r:id="rId98" xr:uid="{71AF924B-080C-4A21-9260-65005A1ACE05}"/>
    <hyperlink ref="A1" r:id="rId99" display="Fusion 2" xr:uid="{2B60FCC4-4110-4287-A090-2DEC8051420B}"/>
  </hyperlinks>
  <pageMargins left="0.7" right="0.7" top="0.75" bottom="0.75" header="0.3" footer="0.3"/>
  <pageSetup paperSize="9" scale="49" orientation="portrait" r:id="rId100"/>
  <drawing r:id="rId101"/>
  <tableParts count="1">
    <tablePart r:id="rId10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8F8E2-ACF1-47E2-A270-790CF2AD3B4C}">
  <sheetPr codeName="List5">
    <tabColor theme="1" tint="4.9989318521683403E-2"/>
    <pageSetUpPr fitToPage="1"/>
  </sheetPr>
  <dimension ref="B1:AI196"/>
  <sheetViews>
    <sheetView showGridLines="0" zoomScale="85" zoomScaleNormal="85" zoomScaleSheetLayoutView="100" workbookViewId="0">
      <pane ySplit="7" topLeftCell="A157" activePane="bottomLeft" state="frozen"/>
      <selection pane="bottomLeft" activeCell="A182" sqref="A182"/>
    </sheetView>
  </sheetViews>
  <sheetFormatPr defaultColWidth="8.85546875" defaultRowHeight="15" x14ac:dyDescent="0.25"/>
  <cols>
    <col min="1" max="1" width="21.42578125" style="30" customWidth="1"/>
    <col min="2" max="2" width="18.5703125" style="29" bestFit="1" customWidth="1"/>
    <col min="3" max="3" width="15.5703125" style="30" bestFit="1" customWidth="1"/>
    <col min="4" max="4" width="8.5703125" style="30" customWidth="1"/>
    <col min="5" max="5" width="11.28515625" style="30" bestFit="1" customWidth="1"/>
    <col min="6" max="6" width="13.7109375" style="30" customWidth="1"/>
    <col min="7" max="8" width="10" style="30" hidden="1" customWidth="1"/>
    <col min="9" max="9" width="10.42578125" style="30" hidden="1" customWidth="1"/>
    <col min="10" max="10" width="8.5703125" style="30" hidden="1" customWidth="1"/>
    <col min="11" max="11" width="10.5703125" style="30" hidden="1" customWidth="1"/>
    <col min="12" max="12" width="15.5703125" style="30" hidden="1" customWidth="1"/>
    <col min="13" max="13" width="11" style="494" customWidth="1"/>
    <col min="14" max="14" width="8.5703125" style="494" customWidth="1"/>
    <col min="15" max="15" width="8.85546875" style="30" bestFit="1" customWidth="1"/>
    <col min="16" max="16" width="11" style="30" hidden="1" customWidth="1"/>
    <col min="17" max="17" width="12.7109375" style="30" bestFit="1" customWidth="1"/>
    <col min="18" max="25" width="8.5703125" style="30" customWidth="1"/>
    <col min="26" max="26" width="8.5703125" style="219" customWidth="1"/>
    <col min="27" max="27" width="7.140625" style="219" customWidth="1"/>
    <col min="28" max="28" width="10" style="219" hidden="1" customWidth="1"/>
    <col min="29" max="29" width="19.28515625" style="30" bestFit="1" customWidth="1"/>
    <col min="31" max="31" width="8.5703125" style="30" customWidth="1"/>
    <col min="32" max="32" width="12" bestFit="1" customWidth="1"/>
    <col min="36" max="37" width="6.42578125" style="30" customWidth="1"/>
    <col min="38" max="39" width="7.5703125" style="30" bestFit="1" customWidth="1"/>
    <col min="40" max="40" width="11.5703125" style="30" customWidth="1"/>
    <col min="41" max="41" width="7.5703125" style="30" bestFit="1" customWidth="1"/>
    <col min="42" max="42" width="9.5703125" style="30" customWidth="1"/>
    <col min="43" max="16384" width="8.85546875" style="30"/>
  </cols>
  <sheetData>
    <row r="1" spans="2:35" ht="53.25" customHeight="1" thickBot="1" x14ac:dyDescent="0.3"/>
    <row r="2" spans="2:35" ht="23.25" thickBot="1" x14ac:dyDescent="0.3">
      <c r="I2" s="162" t="s">
        <v>1371</v>
      </c>
      <c r="J2" s="163" t="s">
        <v>1342</v>
      </c>
      <c r="K2" s="224"/>
    </row>
    <row r="3" spans="2:35" ht="18" customHeight="1" thickBot="1" x14ac:dyDescent="0.3">
      <c r="C3" s="549" t="s">
        <v>0</v>
      </c>
      <c r="D3" s="550"/>
      <c r="E3" s="558">
        <f>SUM(N8:N196)</f>
        <v>0</v>
      </c>
      <c r="F3" s="562"/>
      <c r="G3" s="197"/>
      <c r="H3" s="197"/>
      <c r="I3" s="166">
        <f>SUM(L9:L147)</f>
        <v>0</v>
      </c>
      <c r="J3" s="167">
        <f>E3-I3</f>
        <v>0</v>
      </c>
    </row>
    <row r="4" spans="2:35" ht="18" customHeight="1" thickBot="1" x14ac:dyDescent="0.3">
      <c r="C4" s="547" t="s">
        <v>19</v>
      </c>
      <c r="D4" s="548"/>
      <c r="E4" s="560">
        <f>SUM(R8:AC196)</f>
        <v>0</v>
      </c>
      <c r="F4" s="563"/>
      <c r="G4" s="197"/>
      <c r="O4" s="536" t="s">
        <v>1202</v>
      </c>
      <c r="P4" s="557"/>
      <c r="Q4" s="537"/>
      <c r="R4" s="481">
        <f t="shared" ref="R4:AA4" si="0">SUM(R8:R182)</f>
        <v>0</v>
      </c>
      <c r="S4" s="441">
        <f t="shared" si="0"/>
        <v>0</v>
      </c>
      <c r="T4" s="442">
        <f t="shared" si="0"/>
        <v>0</v>
      </c>
      <c r="U4" s="443">
        <f t="shared" si="0"/>
        <v>0</v>
      </c>
      <c r="V4" s="444">
        <f t="shared" si="0"/>
        <v>0</v>
      </c>
      <c r="W4" s="445">
        <f t="shared" si="0"/>
        <v>0</v>
      </c>
      <c r="X4" s="446">
        <f t="shared" si="0"/>
        <v>0</v>
      </c>
      <c r="Y4" s="447">
        <f t="shared" si="0"/>
        <v>0</v>
      </c>
      <c r="Z4" s="451">
        <f t="shared" si="0"/>
        <v>0</v>
      </c>
      <c r="AA4" s="450">
        <f t="shared" si="0"/>
        <v>0</v>
      </c>
      <c r="AB4" s="489"/>
      <c r="AC4" s="169">
        <f>SUM(AC8:AC147)</f>
        <v>0</v>
      </c>
    </row>
    <row r="5" spans="2:35" ht="4.5" customHeight="1" thickBot="1" x14ac:dyDescent="0.3">
      <c r="C5" s="170"/>
      <c r="D5" s="170"/>
      <c r="E5" s="171"/>
      <c r="F5" s="171"/>
    </row>
    <row r="6" spans="2:35" ht="15.75" hidden="1" thickBot="1" x14ac:dyDescent="0.3">
      <c r="R6" s="33">
        <f t="shared" ref="R6:Z6" si="1">SUM(R8:R147)</f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 t="shared" si="1"/>
        <v>0</v>
      </c>
      <c r="Z6" s="452">
        <f t="shared" si="1"/>
        <v>0</v>
      </c>
      <c r="AA6" s="452"/>
      <c r="AB6" s="452"/>
      <c r="AC6" s="33">
        <f>SUM(AC8:AC147)</f>
        <v>0</v>
      </c>
      <c r="AF6" s="30"/>
      <c r="AG6" s="30"/>
      <c r="AH6" s="30"/>
      <c r="AI6" s="30"/>
    </row>
    <row r="7" spans="2:35" ht="36" customHeight="1" thickBot="1" x14ac:dyDescent="0.3">
      <c r="B7" s="26" t="s">
        <v>988</v>
      </c>
      <c r="C7" s="34" t="s">
        <v>86</v>
      </c>
      <c r="D7" s="199" t="s">
        <v>989</v>
      </c>
      <c r="E7" s="35" t="s">
        <v>13</v>
      </c>
      <c r="F7" s="35" t="s">
        <v>3</v>
      </c>
      <c r="G7" s="60" t="s">
        <v>237</v>
      </c>
      <c r="H7" s="485" t="s">
        <v>2064</v>
      </c>
      <c r="I7" s="173" t="s">
        <v>1373</v>
      </c>
      <c r="J7" s="173" t="s">
        <v>1374</v>
      </c>
      <c r="K7" s="173" t="s">
        <v>1371</v>
      </c>
      <c r="L7" s="160" t="s">
        <v>1372</v>
      </c>
      <c r="M7" s="495" t="s">
        <v>2069</v>
      </c>
      <c r="N7" s="501" t="s">
        <v>85</v>
      </c>
      <c r="O7" s="66" t="s">
        <v>1407</v>
      </c>
      <c r="P7" s="66" t="s">
        <v>11</v>
      </c>
      <c r="Q7" s="225" t="s">
        <v>1408</v>
      </c>
      <c r="R7" s="61" t="s">
        <v>657</v>
      </c>
      <c r="S7" s="226" t="s">
        <v>84</v>
      </c>
      <c r="T7" s="226" t="s">
        <v>14</v>
      </c>
      <c r="U7" s="227" t="s">
        <v>926</v>
      </c>
      <c r="V7" s="227" t="s">
        <v>5</v>
      </c>
      <c r="W7" s="226" t="s">
        <v>6</v>
      </c>
      <c r="X7" s="226" t="s">
        <v>7</v>
      </c>
      <c r="Y7" s="226" t="s">
        <v>927</v>
      </c>
      <c r="Z7" s="227" t="s">
        <v>198</v>
      </c>
      <c r="AA7" s="227" t="s">
        <v>8</v>
      </c>
      <c r="AB7" s="200" t="s">
        <v>2067</v>
      </c>
      <c r="AC7" s="174" t="s">
        <v>1276</v>
      </c>
      <c r="AF7" s="30"/>
      <c r="AG7" s="30"/>
      <c r="AH7" s="30"/>
      <c r="AI7" s="30"/>
    </row>
    <row r="8" spans="2:35" ht="12" customHeight="1" thickBot="1" x14ac:dyDescent="0.3">
      <c r="B8" s="122" t="s">
        <v>455</v>
      </c>
      <c r="C8" s="125" t="s">
        <v>1708</v>
      </c>
      <c r="D8" s="123"/>
      <c r="E8" s="124"/>
      <c r="F8" s="124"/>
      <c r="G8" s="124"/>
      <c r="H8" s="124"/>
      <c r="I8" s="124"/>
      <c r="J8" s="124"/>
      <c r="K8" s="124"/>
      <c r="L8" s="124"/>
      <c r="M8" s="496"/>
      <c r="N8" s="496"/>
      <c r="O8" s="124"/>
      <c r="P8" s="137"/>
      <c r="Q8" s="392"/>
      <c r="R8" s="201"/>
      <c r="S8" s="201"/>
      <c r="T8" s="201"/>
      <c r="U8" s="201"/>
      <c r="V8" s="201"/>
      <c r="W8" s="201"/>
      <c r="X8" s="201"/>
      <c r="Y8" s="201"/>
      <c r="Z8" s="456"/>
      <c r="AA8" s="460"/>
      <c r="AB8" s="460"/>
      <c r="AC8" s="203"/>
      <c r="AE8" s="108"/>
      <c r="AF8" s="30"/>
      <c r="AG8" s="30"/>
      <c r="AH8" s="30"/>
      <c r="AI8" s="30"/>
    </row>
    <row r="9" spans="2:35" ht="12" customHeight="1" thickBot="1" x14ac:dyDescent="0.3">
      <c r="B9" s="29" t="s">
        <v>457</v>
      </c>
      <c r="C9" s="92" t="s">
        <v>1277</v>
      </c>
      <c r="D9" s="229" t="s">
        <v>1074</v>
      </c>
      <c r="E9" s="78" t="s">
        <v>468</v>
      </c>
      <c r="F9" s="77">
        <v>6.8</v>
      </c>
      <c r="G9" s="224">
        <v>350</v>
      </c>
      <c r="H9" s="224">
        <f>ROUNDUP(Tabela1345[[#This Row],[PRICE]]*(1+PRICES!$C$4),0)</f>
        <v>420</v>
      </c>
      <c r="I9" s="175">
        <v>0.15</v>
      </c>
      <c r="J9" s="79">
        <f>Tabela1345[[#This Row],[PRICE]]*Tabela1345[[#This Row],[DISCOUNT per piece '[%']]]</f>
        <v>52.5</v>
      </c>
      <c r="K9" s="79">
        <f>Tabela1345[[#This Row],[PRICE]]*(1-Tabela1345[[#This Row],[DISCOUNT per piece '[%']]])</f>
        <v>297.5</v>
      </c>
      <c r="L9" s="176">
        <f>Tabela1345[[#This Row],[PCS]]*Tabela1345[[#This Row],[PROMOTIONAL PRICE]]</f>
        <v>0</v>
      </c>
      <c r="M9" s="497" cm="1">
        <f t="array" ref="M9">ROUNDUP(Tabela1345[[#This Row],[NEW PRICE]]*eurofxref_daily[],2)</f>
        <v>675.7</v>
      </c>
      <c r="N9" s="502">
        <f>Tabela1345[[#This Row],[CAD PRICE]]*O9</f>
        <v>0</v>
      </c>
      <c r="O9" s="62">
        <f>SUM(Tabela1345[[#This Row],[RAL 1023]:[Custom made colour (7% add price)]])</f>
        <v>0</v>
      </c>
      <c r="P9" s="62">
        <f>Tabela1345[[#This Row],[Weight (kg)]]*Tabela1345[[#This Row],[PCS]]</f>
        <v>0</v>
      </c>
      <c r="Q9" s="393"/>
      <c r="R9" s="482"/>
      <c r="S9" s="486"/>
      <c r="T9" s="466"/>
      <c r="U9" s="435"/>
      <c r="V9" s="467"/>
      <c r="W9" s="468"/>
      <c r="X9" s="436"/>
      <c r="Y9" s="470"/>
      <c r="Z9" s="469"/>
      <c r="AA9" s="449"/>
      <c r="AB9" s="449"/>
      <c r="AC9" s="490"/>
      <c r="AE9" s="29"/>
      <c r="AF9" s="30"/>
      <c r="AG9" s="30"/>
      <c r="AH9" s="30"/>
      <c r="AI9" s="30"/>
    </row>
    <row r="10" spans="2:35" ht="12" customHeight="1" thickBot="1" x14ac:dyDescent="0.3">
      <c r="B10" s="29" t="s">
        <v>459</v>
      </c>
      <c r="C10" s="92" t="s">
        <v>1278</v>
      </c>
      <c r="D10" s="229" t="s">
        <v>1075</v>
      </c>
      <c r="E10" s="78" t="s">
        <v>469</v>
      </c>
      <c r="F10" s="77">
        <v>6.8</v>
      </c>
      <c r="G10" s="224">
        <v>366</v>
      </c>
      <c r="H10" s="224">
        <f>ROUNDUP(Tabela1345[[#This Row],[PRICE]]*(1+PRICES!$C$4),0)</f>
        <v>440</v>
      </c>
      <c r="I10" s="175">
        <v>0.15</v>
      </c>
      <c r="J10" s="79">
        <f>Tabela1345[[#This Row],[PRICE]]*Tabela1345[[#This Row],[DISCOUNT per piece '[%']]]</f>
        <v>54.9</v>
      </c>
      <c r="K10" s="79">
        <f>Tabela1345[[#This Row],[PRICE]]*(1-Tabela1345[[#This Row],[DISCOUNT per piece '[%']]])</f>
        <v>311.09999999999997</v>
      </c>
      <c r="L10" s="176">
        <f>Tabela1345[[#This Row],[PCS]]*Tabela1345[[#This Row],[PROMOTIONAL PRICE]]</f>
        <v>0</v>
      </c>
      <c r="M10" s="497" cm="1">
        <f t="array" ref="M10">ROUNDUP(Tabela1345[[#This Row],[NEW PRICE]]*eurofxref_daily[],2)</f>
        <v>707.88</v>
      </c>
      <c r="N10" s="502">
        <f>Tabela1345[[#This Row],[CAD PRICE]]*O10</f>
        <v>0</v>
      </c>
      <c r="O10" s="62">
        <f>SUM(Tabela1345[[#This Row],[RAL 1023]:[Custom made colour (7% add price)]])</f>
        <v>0</v>
      </c>
      <c r="P10" s="62">
        <f>Tabela1345[[#This Row],[Weight (kg)]]*Tabela1345[[#This Row],[PCS]]</f>
        <v>0</v>
      </c>
      <c r="Q10" s="393"/>
      <c r="R10" s="482"/>
      <c r="S10" s="486"/>
      <c r="T10" s="466"/>
      <c r="U10" s="435"/>
      <c r="V10" s="467"/>
      <c r="W10" s="468"/>
      <c r="X10" s="436"/>
      <c r="Y10" s="470"/>
      <c r="Z10" s="469"/>
      <c r="AA10" s="449"/>
      <c r="AB10" s="449"/>
      <c r="AC10" s="403"/>
      <c r="AE10" s="29"/>
      <c r="AF10" s="30"/>
      <c r="AG10" s="30"/>
      <c r="AH10" s="30"/>
      <c r="AI10" s="30"/>
    </row>
    <row r="11" spans="2:35" ht="12" customHeight="1" thickBot="1" x14ac:dyDescent="0.3">
      <c r="B11" s="29" t="s">
        <v>461</v>
      </c>
      <c r="C11" s="92" t="s">
        <v>1279</v>
      </c>
      <c r="D11" s="229" t="s">
        <v>1076</v>
      </c>
      <c r="E11" s="78" t="s">
        <v>470</v>
      </c>
      <c r="F11" s="77">
        <v>6.9</v>
      </c>
      <c r="G11" s="224">
        <v>366</v>
      </c>
      <c r="H11" s="224">
        <f>ROUNDUP(Tabela1345[[#This Row],[PRICE]]*(1+PRICES!$C$4),0)</f>
        <v>440</v>
      </c>
      <c r="I11" s="175">
        <v>0.15</v>
      </c>
      <c r="J11" s="79">
        <f>Tabela1345[[#This Row],[PRICE]]*Tabela1345[[#This Row],[DISCOUNT per piece '[%']]]</f>
        <v>54.9</v>
      </c>
      <c r="K11" s="79">
        <f>Tabela1345[[#This Row],[PRICE]]*(1-Tabela1345[[#This Row],[DISCOUNT per piece '[%']]])</f>
        <v>311.09999999999997</v>
      </c>
      <c r="L11" s="176">
        <f>Tabela1345[[#This Row],[PCS]]*Tabela1345[[#This Row],[PROMOTIONAL PRICE]]</f>
        <v>0</v>
      </c>
      <c r="M11" s="497" cm="1">
        <f t="array" ref="M11">ROUNDUP(Tabela1345[[#This Row],[NEW PRICE]]*eurofxref_daily[],2)</f>
        <v>707.88</v>
      </c>
      <c r="N11" s="502">
        <f>Tabela1345[[#This Row],[CAD PRICE]]*O11</f>
        <v>0</v>
      </c>
      <c r="O11" s="62">
        <f>SUM(Tabela1345[[#This Row],[RAL 1023]:[Custom made colour (7% add price)]])</f>
        <v>0</v>
      </c>
      <c r="P11" s="62">
        <f>Tabela1345[[#This Row],[Weight (kg)]]*Tabela1345[[#This Row],[PCS]]</f>
        <v>0</v>
      </c>
      <c r="Q11" s="393"/>
      <c r="R11" s="482"/>
      <c r="S11" s="486"/>
      <c r="T11" s="466"/>
      <c r="U11" s="435"/>
      <c r="V11" s="467"/>
      <c r="W11" s="468"/>
      <c r="X11" s="436"/>
      <c r="Y11" s="470"/>
      <c r="Z11" s="469"/>
      <c r="AA11" s="449"/>
      <c r="AB11" s="449"/>
      <c r="AC11" s="403"/>
      <c r="AE11" s="29"/>
      <c r="AF11" s="30"/>
      <c r="AG11" s="30"/>
      <c r="AH11" s="30"/>
      <c r="AI11" s="30"/>
    </row>
    <row r="12" spans="2:35" ht="12" customHeight="1" thickBot="1" x14ac:dyDescent="0.3">
      <c r="B12" s="29" t="s">
        <v>463</v>
      </c>
      <c r="C12" s="92" t="s">
        <v>1280</v>
      </c>
      <c r="D12" s="229" t="s">
        <v>1077</v>
      </c>
      <c r="E12" s="78" t="s">
        <v>471</v>
      </c>
      <c r="F12" s="77">
        <v>7.4</v>
      </c>
      <c r="G12" s="224">
        <v>367</v>
      </c>
      <c r="H12" s="224">
        <f>ROUNDUP(Tabela1345[[#This Row],[PRICE]]*(1+PRICES!$C$4),0)</f>
        <v>441</v>
      </c>
      <c r="I12" s="175">
        <v>0.15</v>
      </c>
      <c r="J12" s="79">
        <f>Tabela1345[[#This Row],[PRICE]]*Tabela1345[[#This Row],[DISCOUNT per piece '[%']]]</f>
        <v>55.05</v>
      </c>
      <c r="K12" s="79">
        <f>Tabela1345[[#This Row],[PRICE]]*(1-Tabela1345[[#This Row],[DISCOUNT per piece '[%']]])</f>
        <v>311.95</v>
      </c>
      <c r="L12" s="176">
        <f>Tabela1345[[#This Row],[PCS]]*Tabela1345[[#This Row],[PROMOTIONAL PRICE]]</f>
        <v>0</v>
      </c>
      <c r="M12" s="497" cm="1">
        <f t="array" ref="M12">ROUNDUP(Tabela1345[[#This Row],[NEW PRICE]]*eurofxref_daily[],2)</f>
        <v>709.49</v>
      </c>
      <c r="N12" s="502">
        <f>Tabela1345[[#This Row],[CAD PRICE]]*O12</f>
        <v>0</v>
      </c>
      <c r="O12" s="62">
        <f>SUM(Tabela1345[[#This Row],[RAL 1023]:[Custom made colour (7% add price)]])</f>
        <v>0</v>
      </c>
      <c r="P12" s="62">
        <f>Tabela1345[[#This Row],[Weight (kg)]]*Tabela1345[[#This Row],[PCS]]</f>
        <v>0</v>
      </c>
      <c r="Q12" s="393"/>
      <c r="R12" s="482"/>
      <c r="S12" s="486"/>
      <c r="T12" s="466"/>
      <c r="U12" s="435"/>
      <c r="V12" s="467"/>
      <c r="W12" s="468"/>
      <c r="X12" s="436"/>
      <c r="Y12" s="470"/>
      <c r="Z12" s="469"/>
      <c r="AA12" s="449"/>
      <c r="AB12" s="449"/>
      <c r="AC12" s="403"/>
      <c r="AE12" s="29"/>
      <c r="AF12" s="30"/>
      <c r="AG12" s="30"/>
      <c r="AH12" s="30"/>
      <c r="AI12" s="30"/>
    </row>
    <row r="13" spans="2:35" ht="12" customHeight="1" thickBot="1" x14ac:dyDescent="0.3">
      <c r="B13" s="29" t="s">
        <v>465</v>
      </c>
      <c r="C13" s="92" t="s">
        <v>1281</v>
      </c>
      <c r="D13" s="229" t="s">
        <v>1078</v>
      </c>
      <c r="E13" s="78" t="s">
        <v>472</v>
      </c>
      <c r="F13" s="77">
        <v>6.9</v>
      </c>
      <c r="G13" s="224">
        <v>361</v>
      </c>
      <c r="H13" s="224">
        <f>ROUNDUP(Tabela1345[[#This Row],[PRICE]]*(1+PRICES!$C$4),0)</f>
        <v>434</v>
      </c>
      <c r="I13" s="175">
        <v>0.15</v>
      </c>
      <c r="J13" s="79">
        <f>Tabela1345[[#This Row],[PRICE]]*Tabela1345[[#This Row],[DISCOUNT per piece '[%']]]</f>
        <v>54.15</v>
      </c>
      <c r="K13" s="79">
        <f>Tabela1345[[#This Row],[PRICE]]*(1-Tabela1345[[#This Row],[DISCOUNT per piece '[%']]])</f>
        <v>306.84999999999997</v>
      </c>
      <c r="L13" s="176">
        <f>Tabela1345[[#This Row],[PCS]]*Tabela1345[[#This Row],[PROMOTIONAL PRICE]]</f>
        <v>0</v>
      </c>
      <c r="M13" s="497" cm="1">
        <f t="array" ref="M13">ROUNDUP(Tabela1345[[#This Row],[NEW PRICE]]*eurofxref_daily[],2)</f>
        <v>698.22</v>
      </c>
      <c r="N13" s="502">
        <f>Tabela1345[[#This Row],[CAD PRICE]]*O13</f>
        <v>0</v>
      </c>
      <c r="O13" s="62">
        <f>SUM(Tabela1345[[#This Row],[RAL 1023]:[Custom made colour (7% add price)]])</f>
        <v>0</v>
      </c>
      <c r="P13" s="62">
        <f>Tabela1345[[#This Row],[Weight (kg)]]*Tabela1345[[#This Row],[PCS]]</f>
        <v>0</v>
      </c>
      <c r="Q13" s="393"/>
      <c r="R13" s="482"/>
      <c r="S13" s="486"/>
      <c r="T13" s="466"/>
      <c r="U13" s="435"/>
      <c r="V13" s="467"/>
      <c r="W13" s="468"/>
      <c r="X13" s="436"/>
      <c r="Y13" s="470"/>
      <c r="Z13" s="469"/>
      <c r="AA13" s="449"/>
      <c r="AB13" s="449"/>
      <c r="AC13" s="403"/>
      <c r="AE13" s="29"/>
      <c r="AF13" s="30"/>
      <c r="AG13" s="30"/>
      <c r="AH13" s="30"/>
      <c r="AI13" s="30"/>
    </row>
    <row r="14" spans="2:35" ht="12" customHeight="1" thickBot="1" x14ac:dyDescent="0.3">
      <c r="B14" s="29" t="s">
        <v>467</v>
      </c>
      <c r="C14" s="92" t="s">
        <v>1282</v>
      </c>
      <c r="D14" s="229" t="s">
        <v>1079</v>
      </c>
      <c r="E14" s="78" t="s">
        <v>473</v>
      </c>
      <c r="F14" s="77">
        <v>7.2</v>
      </c>
      <c r="G14" s="224">
        <v>371</v>
      </c>
      <c r="H14" s="224">
        <f>ROUNDUP(Tabela1345[[#This Row],[PRICE]]*(1+PRICES!$C$4),0)</f>
        <v>446</v>
      </c>
      <c r="I14" s="175">
        <v>0.15</v>
      </c>
      <c r="J14" s="79">
        <f>Tabela1345[[#This Row],[PRICE]]*Tabela1345[[#This Row],[DISCOUNT per piece '[%']]]</f>
        <v>55.65</v>
      </c>
      <c r="K14" s="79">
        <f>Tabela1345[[#This Row],[PRICE]]*(1-Tabela1345[[#This Row],[DISCOUNT per piece '[%']]])</f>
        <v>315.34999999999997</v>
      </c>
      <c r="L14" s="176">
        <f>Tabela1345[[#This Row],[PCS]]*Tabela1345[[#This Row],[PROMOTIONAL PRICE]]</f>
        <v>0</v>
      </c>
      <c r="M14" s="497" cm="1">
        <f t="array" ref="M14">ROUNDUP(Tabela1345[[#This Row],[NEW PRICE]]*eurofxref_daily[],2)</f>
        <v>717.53</v>
      </c>
      <c r="N14" s="502">
        <f>Tabela1345[[#This Row],[CAD PRICE]]*O14</f>
        <v>0</v>
      </c>
      <c r="O14" s="62">
        <f>SUM(Tabela1345[[#This Row],[RAL 1023]:[Custom made colour (7% add price)]])</f>
        <v>0</v>
      </c>
      <c r="P14" s="62">
        <f>Tabela1345[[#This Row],[Weight (kg)]]*Tabela1345[[#This Row],[PCS]]</f>
        <v>0</v>
      </c>
      <c r="Q14" s="393"/>
      <c r="R14" s="482"/>
      <c r="S14" s="486"/>
      <c r="T14" s="466"/>
      <c r="U14" s="435"/>
      <c r="V14" s="467"/>
      <c r="W14" s="468"/>
      <c r="X14" s="436"/>
      <c r="Y14" s="470"/>
      <c r="Z14" s="469"/>
      <c r="AA14" s="449"/>
      <c r="AB14" s="449"/>
      <c r="AC14" s="403"/>
      <c r="AE14" s="29"/>
      <c r="AF14" s="30"/>
      <c r="AG14" s="30"/>
      <c r="AH14" s="30"/>
      <c r="AI14" s="30"/>
    </row>
    <row r="15" spans="2:35" ht="12" customHeight="1" thickBot="1" x14ac:dyDescent="0.3">
      <c r="B15" s="399"/>
      <c r="C15" s="125" t="s">
        <v>1709</v>
      </c>
      <c r="D15" s="126"/>
      <c r="E15" s="124"/>
      <c r="F15" s="124"/>
      <c r="G15" s="358"/>
      <c r="H15" s="124"/>
      <c r="I15" s="124"/>
      <c r="J15" s="124"/>
      <c r="K15" s="124"/>
      <c r="L15" s="215"/>
      <c r="M15" s="124"/>
      <c r="N15" s="124"/>
      <c r="O15" s="124"/>
      <c r="P15" s="124"/>
      <c r="Q15" s="394"/>
      <c r="R15" s="399"/>
      <c r="S15" s="392"/>
      <c r="T15" s="399"/>
      <c r="U15" s="399"/>
      <c r="V15" s="399"/>
      <c r="W15" s="399"/>
      <c r="X15" s="399"/>
      <c r="Y15" s="399"/>
      <c r="Z15" s="461"/>
      <c r="AA15" s="461"/>
      <c r="AB15" s="461"/>
      <c r="AC15" s="80"/>
      <c r="AE15" s="29"/>
      <c r="AF15" s="30"/>
      <c r="AG15" s="30"/>
      <c r="AH15" s="30"/>
      <c r="AI15" s="30"/>
    </row>
    <row r="16" spans="2:35" ht="12" customHeight="1" thickBot="1" x14ac:dyDescent="0.3">
      <c r="B16" s="29" t="s">
        <v>456</v>
      </c>
      <c r="C16" s="94" t="s">
        <v>1283</v>
      </c>
      <c r="D16" s="229" t="s">
        <v>1080</v>
      </c>
      <c r="E16" s="48" t="s">
        <v>468</v>
      </c>
      <c r="F16" s="47">
        <v>6.8</v>
      </c>
      <c r="G16" s="224">
        <v>398</v>
      </c>
      <c r="H16" s="224">
        <f>ROUNDUP(Tabela1345[[#This Row],[PRICE]]*(1+PRICES!$C$4),0)</f>
        <v>478</v>
      </c>
      <c r="I16" s="175">
        <v>0.15</v>
      </c>
      <c r="J16" s="49">
        <f>Tabela1345[[#This Row],[PRICE]]*Tabela1345[[#This Row],[DISCOUNT per piece '[%']]]</f>
        <v>59.699999999999996</v>
      </c>
      <c r="K16" s="49">
        <f>Tabela1345[[#This Row],[PRICE]]*(1-Tabela1345[[#This Row],[DISCOUNT per piece '[%']]])</f>
        <v>338.3</v>
      </c>
      <c r="L16" s="178">
        <f>Tabela1345[[#This Row],[PCS]]*Tabela1345[[#This Row],[PROMOTIONAL PRICE]]</f>
        <v>0</v>
      </c>
      <c r="M16" s="497" cm="1">
        <f t="array" ref="M16">ROUNDUP(Tabela1345[[#This Row],[NEW PRICE]]*eurofxref_daily[],2)</f>
        <v>769.01</v>
      </c>
      <c r="N16" s="502">
        <f>Tabela1345[[#This Row],[CAD PRICE]]*O16</f>
        <v>0</v>
      </c>
      <c r="O16" s="62">
        <f>SUM(Tabela1345[[#This Row],[RAL 1023]:[Custom made colour (7% add price)]])</f>
        <v>0</v>
      </c>
      <c r="P16" s="62">
        <f>Tabela1345[[#This Row],[Weight (kg)]]*Tabela1345[[#This Row],[PCS]]</f>
        <v>0</v>
      </c>
      <c r="Q16" s="395" t="s">
        <v>2067</v>
      </c>
      <c r="R16" s="482"/>
      <c r="S16" s="486"/>
      <c r="T16" s="466"/>
      <c r="U16" s="435"/>
      <c r="V16" s="467"/>
      <c r="W16" s="468"/>
      <c r="X16" s="436"/>
      <c r="Y16" s="470"/>
      <c r="Z16" s="469"/>
      <c r="AA16" s="449"/>
      <c r="AB16" s="449"/>
      <c r="AC16" s="403"/>
      <c r="AE16" s="29"/>
      <c r="AF16" s="30"/>
      <c r="AG16" s="30"/>
      <c r="AH16" s="30"/>
      <c r="AI16" s="30"/>
    </row>
    <row r="17" spans="2:35" ht="12" customHeight="1" thickBot="1" x14ac:dyDescent="0.3">
      <c r="B17" s="29" t="s">
        <v>458</v>
      </c>
      <c r="C17" s="92" t="s">
        <v>1284</v>
      </c>
      <c r="D17" s="229" t="s">
        <v>1081</v>
      </c>
      <c r="E17" s="48" t="s">
        <v>469</v>
      </c>
      <c r="F17" s="47">
        <v>6.8</v>
      </c>
      <c r="G17" s="224">
        <v>403</v>
      </c>
      <c r="H17" s="224">
        <f>ROUNDUP(Tabela1345[[#This Row],[PRICE]]*(1+PRICES!$C$4),0)</f>
        <v>484</v>
      </c>
      <c r="I17" s="175">
        <v>0.15</v>
      </c>
      <c r="J17" s="49">
        <f>Tabela1345[[#This Row],[PRICE]]*Tabela1345[[#This Row],[DISCOUNT per piece '[%']]]</f>
        <v>60.449999999999996</v>
      </c>
      <c r="K17" s="49">
        <f>Tabela1345[[#This Row],[PRICE]]*(1-Tabela1345[[#This Row],[DISCOUNT per piece '[%']]])</f>
        <v>342.55</v>
      </c>
      <c r="L17" s="178">
        <f>Tabela1345[[#This Row],[PCS]]*Tabela1345[[#This Row],[PROMOTIONAL PRICE]]</f>
        <v>0</v>
      </c>
      <c r="M17" s="497" cm="1">
        <f t="array" ref="M17">ROUNDUP(Tabela1345[[#This Row],[NEW PRICE]]*eurofxref_daily[],2)</f>
        <v>778.66</v>
      </c>
      <c r="N17" s="502">
        <f>Tabela1345[[#This Row],[CAD PRICE]]*O17</f>
        <v>0</v>
      </c>
      <c r="O17" s="62">
        <f>SUM(Tabela1345[[#This Row],[RAL 1023]:[Custom made colour (7% add price)]])</f>
        <v>0</v>
      </c>
      <c r="P17" s="62">
        <f>Tabela1345[[#This Row],[Weight (kg)]]*Tabela1345[[#This Row],[PCS]]</f>
        <v>0</v>
      </c>
      <c r="Q17" s="395" t="s">
        <v>2067</v>
      </c>
      <c r="R17" s="482"/>
      <c r="S17" s="486"/>
      <c r="T17" s="466"/>
      <c r="U17" s="435"/>
      <c r="V17" s="467"/>
      <c r="W17" s="468"/>
      <c r="X17" s="436"/>
      <c r="Y17" s="470"/>
      <c r="Z17" s="469"/>
      <c r="AA17" s="449"/>
      <c r="AB17" s="449"/>
      <c r="AC17" s="403"/>
      <c r="AE17" s="29"/>
      <c r="AF17" s="30"/>
      <c r="AG17" s="30"/>
      <c r="AH17" s="30"/>
      <c r="AI17" s="30"/>
    </row>
    <row r="18" spans="2:35" ht="12" customHeight="1" thickBot="1" x14ac:dyDescent="0.3">
      <c r="B18" s="29" t="s">
        <v>460</v>
      </c>
      <c r="C18" s="92" t="s">
        <v>1285</v>
      </c>
      <c r="D18" s="229" t="s">
        <v>1082</v>
      </c>
      <c r="E18" s="48" t="s">
        <v>470</v>
      </c>
      <c r="F18" s="47">
        <v>6.9</v>
      </c>
      <c r="G18" s="224">
        <v>403</v>
      </c>
      <c r="H18" s="224">
        <f>ROUNDUP(Tabela1345[[#This Row],[PRICE]]*(1+PRICES!$C$4),0)</f>
        <v>484</v>
      </c>
      <c r="I18" s="175">
        <v>0.15</v>
      </c>
      <c r="J18" s="49">
        <f>Tabela1345[[#This Row],[PRICE]]*Tabela1345[[#This Row],[DISCOUNT per piece '[%']]]</f>
        <v>60.449999999999996</v>
      </c>
      <c r="K18" s="49">
        <f>Tabela1345[[#This Row],[PRICE]]*(1-Tabela1345[[#This Row],[DISCOUNT per piece '[%']]])</f>
        <v>342.55</v>
      </c>
      <c r="L18" s="178">
        <f>Tabela1345[[#This Row],[PCS]]*Tabela1345[[#This Row],[PROMOTIONAL PRICE]]</f>
        <v>0</v>
      </c>
      <c r="M18" s="497" cm="1">
        <f t="array" ref="M18">ROUNDUP(Tabela1345[[#This Row],[NEW PRICE]]*eurofxref_daily[],2)</f>
        <v>778.66</v>
      </c>
      <c r="N18" s="502">
        <f>Tabela1345[[#This Row],[CAD PRICE]]*O18</f>
        <v>0</v>
      </c>
      <c r="O18" s="62">
        <f>SUM(Tabela1345[[#This Row],[RAL 1023]:[Custom made colour (7% add price)]])</f>
        <v>0</v>
      </c>
      <c r="P18" s="62">
        <f>Tabela1345[[#This Row],[Weight (kg)]]*Tabela1345[[#This Row],[PCS]]</f>
        <v>0</v>
      </c>
      <c r="Q18" s="395" t="s">
        <v>2067</v>
      </c>
      <c r="R18" s="482"/>
      <c r="S18" s="486"/>
      <c r="T18" s="466"/>
      <c r="U18" s="435"/>
      <c r="V18" s="467"/>
      <c r="W18" s="468"/>
      <c r="X18" s="436"/>
      <c r="Y18" s="470"/>
      <c r="Z18" s="469"/>
      <c r="AA18" s="449"/>
      <c r="AB18" s="449"/>
      <c r="AC18" s="403"/>
      <c r="AE18" s="29"/>
      <c r="AF18" s="30"/>
      <c r="AG18" s="30"/>
      <c r="AH18" s="30"/>
      <c r="AI18" s="30"/>
    </row>
    <row r="19" spans="2:35" ht="12" customHeight="1" thickBot="1" x14ac:dyDescent="0.3">
      <c r="B19" s="29" t="s">
        <v>462</v>
      </c>
      <c r="C19" s="92" t="s">
        <v>1286</v>
      </c>
      <c r="D19" s="229" t="s">
        <v>1083</v>
      </c>
      <c r="E19" s="48" t="s">
        <v>471</v>
      </c>
      <c r="F19" s="47">
        <v>7.4</v>
      </c>
      <c r="G19" s="224">
        <v>419</v>
      </c>
      <c r="H19" s="224">
        <f>ROUNDUP(Tabela1345[[#This Row],[PRICE]]*(1+PRICES!$C$4),0)</f>
        <v>503</v>
      </c>
      <c r="I19" s="175">
        <v>0.15</v>
      </c>
      <c r="J19" s="49">
        <f>Tabela1345[[#This Row],[PRICE]]*Tabela1345[[#This Row],[DISCOUNT per piece '[%']]]</f>
        <v>62.849999999999994</v>
      </c>
      <c r="K19" s="49">
        <f>Tabela1345[[#This Row],[PRICE]]*(1-Tabela1345[[#This Row],[DISCOUNT per piece '[%']]])</f>
        <v>356.15</v>
      </c>
      <c r="L19" s="178">
        <f>Tabela1345[[#This Row],[PCS]]*Tabela1345[[#This Row],[PROMOTIONAL PRICE]]</f>
        <v>0</v>
      </c>
      <c r="M19" s="497" cm="1">
        <f t="array" ref="M19">ROUNDUP(Tabela1345[[#This Row],[NEW PRICE]]*eurofxref_daily[],2)</f>
        <v>809.23</v>
      </c>
      <c r="N19" s="502">
        <f>Tabela1345[[#This Row],[CAD PRICE]]*O19</f>
        <v>0</v>
      </c>
      <c r="O19" s="62">
        <f>SUM(Tabela1345[[#This Row],[RAL 1023]:[Custom made colour (7% add price)]])</f>
        <v>0</v>
      </c>
      <c r="P19" s="62">
        <f>Tabela1345[[#This Row],[Weight (kg)]]*Tabela1345[[#This Row],[PCS]]</f>
        <v>0</v>
      </c>
      <c r="Q19" s="395" t="s">
        <v>2067</v>
      </c>
      <c r="R19" s="482"/>
      <c r="S19" s="486"/>
      <c r="T19" s="466"/>
      <c r="U19" s="435"/>
      <c r="V19" s="467"/>
      <c r="W19" s="468"/>
      <c r="X19" s="436"/>
      <c r="Y19" s="470"/>
      <c r="Z19" s="469"/>
      <c r="AA19" s="449"/>
      <c r="AB19" s="449"/>
      <c r="AC19" s="403"/>
      <c r="AE19" s="29"/>
      <c r="AF19" s="30"/>
      <c r="AG19" s="30"/>
      <c r="AH19" s="30"/>
      <c r="AI19" s="30"/>
    </row>
    <row r="20" spans="2:35" ht="12" customHeight="1" thickBot="1" x14ac:dyDescent="0.3">
      <c r="B20" s="29" t="s">
        <v>464</v>
      </c>
      <c r="C20" s="92" t="s">
        <v>1287</v>
      </c>
      <c r="D20" s="229" t="s">
        <v>1084</v>
      </c>
      <c r="E20" s="48" t="s">
        <v>472</v>
      </c>
      <c r="F20" s="47">
        <v>6.9</v>
      </c>
      <c r="G20" s="224">
        <v>419</v>
      </c>
      <c r="H20" s="224">
        <f>ROUNDUP(Tabela1345[[#This Row],[PRICE]]*(1+PRICES!$C$4),0)</f>
        <v>503</v>
      </c>
      <c r="I20" s="175">
        <v>0.15</v>
      </c>
      <c r="J20" s="49">
        <f>Tabela1345[[#This Row],[PRICE]]*Tabela1345[[#This Row],[DISCOUNT per piece '[%']]]</f>
        <v>62.849999999999994</v>
      </c>
      <c r="K20" s="49">
        <f>Tabela1345[[#This Row],[PRICE]]*(1-Tabela1345[[#This Row],[DISCOUNT per piece '[%']]])</f>
        <v>356.15</v>
      </c>
      <c r="L20" s="178">
        <f>Tabela1345[[#This Row],[PCS]]*Tabela1345[[#This Row],[PROMOTIONAL PRICE]]</f>
        <v>0</v>
      </c>
      <c r="M20" s="497" cm="1">
        <f t="array" ref="M20">ROUNDUP(Tabela1345[[#This Row],[NEW PRICE]]*eurofxref_daily[],2)</f>
        <v>809.23</v>
      </c>
      <c r="N20" s="502">
        <f>Tabela1345[[#This Row],[CAD PRICE]]*O20</f>
        <v>0</v>
      </c>
      <c r="O20" s="62">
        <f>SUM(Tabela1345[[#This Row],[RAL 1023]:[Custom made colour (7% add price)]])</f>
        <v>0</v>
      </c>
      <c r="P20" s="62">
        <f>Tabela1345[[#This Row],[Weight (kg)]]*Tabela1345[[#This Row],[PCS]]</f>
        <v>0</v>
      </c>
      <c r="Q20" s="395" t="s">
        <v>2067</v>
      </c>
      <c r="R20" s="482"/>
      <c r="S20" s="486"/>
      <c r="T20" s="466"/>
      <c r="U20" s="435"/>
      <c r="V20" s="467"/>
      <c r="W20" s="468"/>
      <c r="X20" s="436"/>
      <c r="Y20" s="470"/>
      <c r="Z20" s="469"/>
      <c r="AA20" s="449"/>
      <c r="AB20" s="449"/>
      <c r="AC20" s="403"/>
      <c r="AE20" s="29"/>
      <c r="AF20" s="30"/>
      <c r="AG20" s="30"/>
      <c r="AH20" s="30"/>
      <c r="AI20" s="30"/>
    </row>
    <row r="21" spans="2:35" ht="12" customHeight="1" thickBot="1" x14ac:dyDescent="0.3">
      <c r="B21" s="29" t="s">
        <v>466</v>
      </c>
      <c r="C21" s="92" t="s">
        <v>1288</v>
      </c>
      <c r="D21" s="229" t="s">
        <v>1085</v>
      </c>
      <c r="E21" s="48" t="s">
        <v>473</v>
      </c>
      <c r="F21" s="47">
        <v>7.2</v>
      </c>
      <c r="G21" s="224">
        <v>419</v>
      </c>
      <c r="H21" s="224">
        <f>ROUNDUP(Tabela1345[[#This Row],[PRICE]]*(1+PRICES!$C$4),0)</f>
        <v>503</v>
      </c>
      <c r="I21" s="175">
        <v>0.15</v>
      </c>
      <c r="J21" s="49">
        <f>Tabela1345[[#This Row],[PRICE]]*Tabela1345[[#This Row],[DISCOUNT per piece '[%']]]</f>
        <v>62.849999999999994</v>
      </c>
      <c r="K21" s="49">
        <f>Tabela1345[[#This Row],[PRICE]]*(1-Tabela1345[[#This Row],[DISCOUNT per piece '[%']]])</f>
        <v>356.15</v>
      </c>
      <c r="L21" s="178">
        <f>Tabela1345[[#This Row],[PCS]]*Tabela1345[[#This Row],[PROMOTIONAL PRICE]]</f>
        <v>0</v>
      </c>
      <c r="M21" s="497" cm="1">
        <f t="array" ref="M21">ROUNDUP(Tabela1345[[#This Row],[NEW PRICE]]*eurofxref_daily[],2)</f>
        <v>809.23</v>
      </c>
      <c r="N21" s="502">
        <f>Tabela1345[[#This Row],[CAD PRICE]]*O21</f>
        <v>0</v>
      </c>
      <c r="O21" s="62">
        <f>SUM(Tabela1345[[#This Row],[RAL 1023]:[Custom made colour (7% add price)]])</f>
        <v>0</v>
      </c>
      <c r="P21" s="62">
        <f>Tabela1345[[#This Row],[Weight (kg)]]*Tabela1345[[#This Row],[PCS]]</f>
        <v>0</v>
      </c>
      <c r="Q21" s="395" t="s">
        <v>2067</v>
      </c>
      <c r="R21" s="482"/>
      <c r="S21" s="486"/>
      <c r="T21" s="466"/>
      <c r="U21" s="435"/>
      <c r="V21" s="467"/>
      <c r="W21" s="468"/>
      <c r="X21" s="436"/>
      <c r="Y21" s="470"/>
      <c r="Z21" s="469"/>
      <c r="AA21" s="449"/>
      <c r="AB21" s="449"/>
      <c r="AC21" s="403"/>
      <c r="AE21" s="29"/>
      <c r="AF21" s="30"/>
      <c r="AG21" s="30"/>
      <c r="AH21" s="30"/>
      <c r="AI21" s="30"/>
    </row>
    <row r="22" spans="2:35" ht="12" customHeight="1" thickBot="1" x14ac:dyDescent="0.3">
      <c r="B22" s="122" t="s">
        <v>493</v>
      </c>
      <c r="C22" s="139" t="s">
        <v>1518</v>
      </c>
      <c r="D22" s="126"/>
      <c r="E22" s="124"/>
      <c r="F22" s="124"/>
      <c r="G22" s="358"/>
      <c r="H22" s="348"/>
      <c r="I22" s="124"/>
      <c r="J22" s="124"/>
      <c r="K22" s="124"/>
      <c r="L22" s="215"/>
      <c r="M22" s="124"/>
      <c r="N22" s="124"/>
      <c r="O22" s="124"/>
      <c r="P22" s="140"/>
      <c r="Q22" s="392"/>
      <c r="R22" s="399"/>
      <c r="S22" s="392"/>
      <c r="T22" s="399"/>
      <c r="U22" s="399"/>
      <c r="V22" s="399"/>
      <c r="W22" s="399"/>
      <c r="X22" s="399"/>
      <c r="Y22" s="399"/>
      <c r="Z22" s="461"/>
      <c r="AA22" s="461"/>
      <c r="AB22" s="461"/>
      <c r="AC22" s="80"/>
      <c r="AE22" s="108"/>
      <c r="AF22" s="30"/>
      <c r="AG22" s="30"/>
      <c r="AH22" s="30"/>
      <c r="AI22" s="30"/>
    </row>
    <row r="23" spans="2:35" ht="12" customHeight="1" thickBot="1" x14ac:dyDescent="0.3">
      <c r="B23" s="230" t="s">
        <v>1753</v>
      </c>
      <c r="C23" s="92" t="s">
        <v>1519</v>
      </c>
      <c r="D23" s="207" t="s">
        <v>1086</v>
      </c>
      <c r="E23" s="78" t="s">
        <v>486</v>
      </c>
      <c r="F23" s="77">
        <v>8</v>
      </c>
      <c r="G23" s="224">
        <v>202</v>
      </c>
      <c r="H23" s="224">
        <f>ROUNDUP(Tabela1345[[#This Row],[PRICE]]*(1+PRICES!$C$4),0)</f>
        <v>243</v>
      </c>
      <c r="I23" s="175">
        <v>0.15</v>
      </c>
      <c r="J23" s="79">
        <f>Tabela1345[[#This Row],[PRICE]]*Tabela1345[[#This Row],[DISCOUNT per piece '[%']]]</f>
        <v>30.299999999999997</v>
      </c>
      <c r="K23" s="79">
        <f>Tabela1345[[#This Row],[PRICE]]*(1-Tabela1345[[#This Row],[DISCOUNT per piece '[%']]])</f>
        <v>171.7</v>
      </c>
      <c r="L23" s="176">
        <f>Tabela1345[[#This Row],[PCS]]*Tabela1345[[#This Row],[PROMOTIONAL PRICE]]</f>
        <v>0</v>
      </c>
      <c r="M23" s="497" cm="1">
        <f t="array" ref="M23">ROUNDUP(Tabela1345[[#This Row],[NEW PRICE]]*eurofxref_daily[],2)</f>
        <v>390.94</v>
      </c>
      <c r="N23" s="502">
        <f>Tabela1345[[#This Row],[CAD PRICE]]*O23</f>
        <v>0</v>
      </c>
      <c r="O23" s="62">
        <f>SUM(Tabela1345[[#This Row],[RAL 1023]:[Custom made colour (7% add price)]])</f>
        <v>0</v>
      </c>
      <c r="P23" s="62">
        <f>Tabela1345[[#This Row],[Weight (kg)]]*Tabela1345[[#This Row],[PCS]]</f>
        <v>0</v>
      </c>
      <c r="Q23" s="393"/>
      <c r="R23" s="482"/>
      <c r="S23" s="486"/>
      <c r="T23" s="466"/>
      <c r="U23" s="435"/>
      <c r="V23" s="467"/>
      <c r="W23" s="468"/>
      <c r="X23" s="436"/>
      <c r="Y23" s="470"/>
      <c r="Z23" s="469"/>
      <c r="AA23" s="449"/>
      <c r="AB23" s="449"/>
      <c r="AC23" s="403"/>
      <c r="AE23" s="29"/>
      <c r="AF23" s="30"/>
      <c r="AG23" s="30"/>
      <c r="AH23" s="30"/>
      <c r="AI23" s="30"/>
    </row>
    <row r="24" spans="2:35" ht="12" customHeight="1" thickBot="1" x14ac:dyDescent="0.3">
      <c r="B24" s="45" t="s">
        <v>474</v>
      </c>
      <c r="C24" s="92" t="s">
        <v>1520</v>
      </c>
      <c r="D24" s="207" t="s">
        <v>1087</v>
      </c>
      <c r="E24" s="48" t="s">
        <v>487</v>
      </c>
      <c r="F24" s="47">
        <v>5</v>
      </c>
      <c r="G24" s="224">
        <v>170</v>
      </c>
      <c r="H24" s="224">
        <f>ROUNDUP(Tabela1345[[#This Row],[PRICE]]*(1+PRICES!$C$4),0)</f>
        <v>204</v>
      </c>
      <c r="I24" s="175">
        <v>0.15</v>
      </c>
      <c r="J24" s="49">
        <f>Tabela1345[[#This Row],[PRICE]]*Tabela1345[[#This Row],[DISCOUNT per piece '[%']]]</f>
        <v>25.5</v>
      </c>
      <c r="K24" s="49">
        <f>Tabela1345[[#This Row],[PRICE]]*(1-Tabela1345[[#This Row],[DISCOUNT per piece '[%']]])</f>
        <v>144.5</v>
      </c>
      <c r="L24" s="178">
        <f>Tabela1345[[#This Row],[PCS]]*Tabela1345[[#This Row],[PROMOTIONAL PRICE]]</f>
        <v>0</v>
      </c>
      <c r="M24" s="497" cm="1">
        <f t="array" ref="M24">ROUNDUP(Tabela1345[[#This Row],[NEW PRICE]]*eurofxref_daily[],2)</f>
        <v>328.2</v>
      </c>
      <c r="N24" s="502">
        <f>Tabela1345[[#This Row],[CAD PRICE]]*O24</f>
        <v>0</v>
      </c>
      <c r="O24" s="62">
        <f>SUM(Tabela1345[[#This Row],[RAL 1023]:[Custom made colour (7% add price)]])</f>
        <v>0</v>
      </c>
      <c r="P24" s="62">
        <f>Tabela1345[[#This Row],[Weight (kg)]]*Tabela1345[[#This Row],[PCS]]</f>
        <v>0</v>
      </c>
      <c r="Q24" s="393"/>
      <c r="R24" s="482"/>
      <c r="S24" s="486"/>
      <c r="T24" s="466"/>
      <c r="U24" s="435"/>
      <c r="V24" s="467"/>
      <c r="W24" s="468"/>
      <c r="X24" s="436"/>
      <c r="Y24" s="470"/>
      <c r="Z24" s="469"/>
      <c r="AA24" s="449"/>
      <c r="AB24" s="449"/>
      <c r="AC24" s="403"/>
      <c r="AE24" s="29"/>
      <c r="AF24" s="30"/>
      <c r="AG24" s="30"/>
      <c r="AH24" s="30"/>
      <c r="AI24" s="30"/>
    </row>
    <row r="25" spans="2:35" ht="12" customHeight="1" thickBot="1" x14ac:dyDescent="0.3">
      <c r="B25" s="45" t="s">
        <v>475</v>
      </c>
      <c r="C25" s="92" t="s">
        <v>1521</v>
      </c>
      <c r="D25" s="207" t="s">
        <v>1088</v>
      </c>
      <c r="E25" s="48" t="s">
        <v>488</v>
      </c>
      <c r="F25" s="47">
        <v>12</v>
      </c>
      <c r="G25" s="224">
        <v>228</v>
      </c>
      <c r="H25" s="224">
        <f>ROUNDUP(Tabela1345[[#This Row],[PRICE]]*(1+PRICES!$C$4),0)</f>
        <v>274</v>
      </c>
      <c r="I25" s="175">
        <v>0.15</v>
      </c>
      <c r="J25" s="49">
        <f>Tabela1345[[#This Row],[PRICE]]*Tabela1345[[#This Row],[DISCOUNT per piece '[%']]]</f>
        <v>34.199999999999996</v>
      </c>
      <c r="K25" s="49">
        <f>Tabela1345[[#This Row],[PRICE]]*(1-Tabela1345[[#This Row],[DISCOUNT per piece '[%']]])</f>
        <v>193.79999999999998</v>
      </c>
      <c r="L25" s="178">
        <f>Tabela1345[[#This Row],[PCS]]*Tabela1345[[#This Row],[PROMOTIONAL PRICE]]</f>
        <v>0</v>
      </c>
      <c r="M25" s="497" cm="1">
        <f t="array" ref="M25">ROUNDUP(Tabela1345[[#This Row],[NEW PRICE]]*eurofxref_daily[],2)</f>
        <v>440.82</v>
      </c>
      <c r="N25" s="502">
        <f>Tabela1345[[#This Row],[CAD PRICE]]*O25</f>
        <v>0</v>
      </c>
      <c r="O25" s="62">
        <f>SUM(Tabela1345[[#This Row],[RAL 1023]:[Custom made colour (7% add price)]])</f>
        <v>0</v>
      </c>
      <c r="P25" s="62">
        <f>Tabela1345[[#This Row],[Weight (kg)]]*Tabela1345[[#This Row],[PCS]]</f>
        <v>0</v>
      </c>
      <c r="Q25" s="393"/>
      <c r="R25" s="482"/>
      <c r="S25" s="486"/>
      <c r="T25" s="466"/>
      <c r="U25" s="435"/>
      <c r="V25" s="467"/>
      <c r="W25" s="468"/>
      <c r="X25" s="436"/>
      <c r="Y25" s="470"/>
      <c r="Z25" s="469"/>
      <c r="AA25" s="449"/>
      <c r="AB25" s="449"/>
      <c r="AC25" s="403"/>
      <c r="AE25" s="29"/>
      <c r="AF25" s="30"/>
      <c r="AG25" s="30"/>
      <c r="AH25" s="30"/>
      <c r="AI25" s="30"/>
    </row>
    <row r="26" spans="2:35" ht="12" customHeight="1" thickBot="1" x14ac:dyDescent="0.3">
      <c r="B26" s="45" t="s">
        <v>476</v>
      </c>
      <c r="C26" s="92" t="s">
        <v>1522</v>
      </c>
      <c r="D26" s="207" t="s">
        <v>1089</v>
      </c>
      <c r="E26" s="48" t="s">
        <v>489</v>
      </c>
      <c r="F26" s="47">
        <v>1.2</v>
      </c>
      <c r="G26" s="224">
        <v>85</v>
      </c>
      <c r="H26" s="224">
        <f>ROUNDUP(Tabela1345[[#This Row],[PRICE]]*(1+PRICES!$C$4),0)</f>
        <v>102</v>
      </c>
      <c r="I26" s="175">
        <v>0.15</v>
      </c>
      <c r="J26" s="49">
        <f>Tabela1345[[#This Row],[PRICE]]*Tabela1345[[#This Row],[DISCOUNT per piece '[%']]]</f>
        <v>12.75</v>
      </c>
      <c r="K26" s="49">
        <f>Tabela1345[[#This Row],[PRICE]]*(1-Tabela1345[[#This Row],[DISCOUNT per piece '[%']]])</f>
        <v>72.25</v>
      </c>
      <c r="L26" s="178">
        <f>Tabela1345[[#This Row],[PCS]]*Tabela1345[[#This Row],[PROMOTIONAL PRICE]]</f>
        <v>0</v>
      </c>
      <c r="M26" s="497" cm="1">
        <f t="array" ref="M26">ROUNDUP(Tabela1345[[#This Row],[NEW PRICE]]*eurofxref_daily[],2)</f>
        <v>164.1</v>
      </c>
      <c r="N26" s="502">
        <f>Tabela1345[[#This Row],[CAD PRICE]]*O26</f>
        <v>0</v>
      </c>
      <c r="O26" s="62">
        <f>SUM(Tabela1345[[#This Row],[RAL 1023]:[Custom made colour (7% add price)]])</f>
        <v>0</v>
      </c>
      <c r="P26" s="62">
        <f>Tabela1345[[#This Row],[Weight (kg)]]*Tabela1345[[#This Row],[PCS]]</f>
        <v>0</v>
      </c>
      <c r="Q26" s="393"/>
      <c r="R26" s="482"/>
      <c r="S26" s="486"/>
      <c r="T26" s="466"/>
      <c r="U26" s="435"/>
      <c r="V26" s="467"/>
      <c r="W26" s="468"/>
      <c r="X26" s="436"/>
      <c r="Y26" s="470"/>
      <c r="Z26" s="469"/>
      <c r="AA26" s="449"/>
      <c r="AB26" s="449"/>
      <c r="AC26" s="403"/>
      <c r="AE26" s="29"/>
      <c r="AF26" s="30"/>
      <c r="AG26" s="30"/>
      <c r="AH26" s="30"/>
      <c r="AI26" s="30"/>
    </row>
    <row r="27" spans="2:35" ht="12" customHeight="1" thickBot="1" x14ac:dyDescent="0.3">
      <c r="B27" s="45" t="s">
        <v>477</v>
      </c>
      <c r="C27" s="92" t="s">
        <v>1523</v>
      </c>
      <c r="D27" s="207" t="s">
        <v>1090</v>
      </c>
      <c r="E27" s="48" t="s">
        <v>490</v>
      </c>
      <c r="F27" s="47">
        <v>3.6</v>
      </c>
      <c r="G27" s="224">
        <v>197</v>
      </c>
      <c r="H27" s="224">
        <f>ROUNDUP(Tabela1345[[#This Row],[PRICE]]*(1+PRICES!$C$4),0)</f>
        <v>237</v>
      </c>
      <c r="I27" s="175">
        <v>0.15</v>
      </c>
      <c r="J27" s="49">
        <f>Tabela1345[[#This Row],[PRICE]]*Tabela1345[[#This Row],[DISCOUNT per piece '[%']]]</f>
        <v>29.549999999999997</v>
      </c>
      <c r="K27" s="49">
        <f>Tabela1345[[#This Row],[PRICE]]*(1-Tabela1345[[#This Row],[DISCOUNT per piece '[%']]])</f>
        <v>167.45</v>
      </c>
      <c r="L27" s="178">
        <f>Tabela1345[[#This Row],[PCS]]*Tabela1345[[#This Row],[PROMOTIONAL PRICE]]</f>
        <v>0</v>
      </c>
      <c r="M27" s="497" cm="1">
        <f t="array" ref="M27">ROUNDUP(Tabela1345[[#This Row],[NEW PRICE]]*eurofxref_daily[],2)</f>
        <v>381.28999999999996</v>
      </c>
      <c r="N27" s="502">
        <f>Tabela1345[[#This Row],[CAD PRICE]]*O27</f>
        <v>0</v>
      </c>
      <c r="O27" s="62">
        <f>SUM(Tabela1345[[#This Row],[RAL 1023]:[Custom made colour (7% add price)]])</f>
        <v>0</v>
      </c>
      <c r="P27" s="62">
        <f>Tabela1345[[#This Row],[Weight (kg)]]*Tabela1345[[#This Row],[PCS]]</f>
        <v>0</v>
      </c>
      <c r="Q27" s="393"/>
      <c r="R27" s="482"/>
      <c r="S27" s="486"/>
      <c r="T27" s="466"/>
      <c r="U27" s="435"/>
      <c r="V27" s="467"/>
      <c r="W27" s="468"/>
      <c r="X27" s="436"/>
      <c r="Y27" s="470"/>
      <c r="Z27" s="469"/>
      <c r="AA27" s="449"/>
      <c r="AB27" s="449"/>
      <c r="AC27" s="403"/>
      <c r="AE27" s="29"/>
      <c r="AF27" s="30"/>
      <c r="AG27" s="30"/>
      <c r="AH27" s="30"/>
      <c r="AI27" s="30"/>
    </row>
    <row r="28" spans="2:35" ht="12" customHeight="1" thickBot="1" x14ac:dyDescent="0.3">
      <c r="B28" s="45" t="s">
        <v>478</v>
      </c>
      <c r="C28" s="92" t="s">
        <v>1524</v>
      </c>
      <c r="D28" s="207" t="s">
        <v>1091</v>
      </c>
      <c r="E28" s="48" t="s">
        <v>490</v>
      </c>
      <c r="F28" s="47">
        <v>3.6</v>
      </c>
      <c r="G28" s="224">
        <v>197</v>
      </c>
      <c r="H28" s="224">
        <f>ROUNDUP(Tabela1345[[#This Row],[PRICE]]*(1+PRICES!$C$4),0)</f>
        <v>237</v>
      </c>
      <c r="I28" s="175">
        <v>0.15</v>
      </c>
      <c r="J28" s="49">
        <f>Tabela1345[[#This Row],[PRICE]]*Tabela1345[[#This Row],[DISCOUNT per piece '[%']]]</f>
        <v>29.549999999999997</v>
      </c>
      <c r="K28" s="49">
        <f>Tabela1345[[#This Row],[PRICE]]*(1-Tabela1345[[#This Row],[DISCOUNT per piece '[%']]])</f>
        <v>167.45</v>
      </c>
      <c r="L28" s="178">
        <f>Tabela1345[[#This Row],[PCS]]*Tabela1345[[#This Row],[PROMOTIONAL PRICE]]</f>
        <v>0</v>
      </c>
      <c r="M28" s="497" cm="1">
        <f t="array" ref="M28">ROUNDUP(Tabela1345[[#This Row],[NEW PRICE]]*eurofxref_daily[],2)</f>
        <v>381.28999999999996</v>
      </c>
      <c r="N28" s="502">
        <f>Tabela1345[[#This Row],[CAD PRICE]]*O28</f>
        <v>0</v>
      </c>
      <c r="O28" s="62">
        <f>SUM(Tabela1345[[#This Row],[RAL 1023]:[Custom made colour (7% add price)]])</f>
        <v>0</v>
      </c>
      <c r="P28" s="62">
        <f>Tabela1345[[#This Row],[Weight (kg)]]*Tabela1345[[#This Row],[PCS]]</f>
        <v>0</v>
      </c>
      <c r="Q28" s="393"/>
      <c r="R28" s="482"/>
      <c r="S28" s="486"/>
      <c r="T28" s="466"/>
      <c r="U28" s="435"/>
      <c r="V28" s="467"/>
      <c r="W28" s="468"/>
      <c r="X28" s="436"/>
      <c r="Y28" s="470"/>
      <c r="Z28" s="469"/>
      <c r="AA28" s="449"/>
      <c r="AB28" s="449"/>
      <c r="AC28" s="403"/>
      <c r="AE28" s="29"/>
      <c r="AF28" s="30"/>
      <c r="AG28" s="30"/>
      <c r="AH28" s="30"/>
      <c r="AI28" s="30"/>
    </row>
    <row r="29" spans="2:35" ht="12" customHeight="1" thickBot="1" x14ac:dyDescent="0.3">
      <c r="B29" s="29" t="s">
        <v>479</v>
      </c>
      <c r="C29" s="92" t="s">
        <v>1525</v>
      </c>
      <c r="D29" s="207" t="s">
        <v>1092</v>
      </c>
      <c r="E29" s="78" t="s">
        <v>491</v>
      </c>
      <c r="F29" s="77">
        <v>3.6</v>
      </c>
      <c r="G29" s="224">
        <v>197</v>
      </c>
      <c r="H29" s="224">
        <f>ROUNDUP(Tabela1345[[#This Row],[PRICE]]*(1+PRICES!$C$4),0)</f>
        <v>237</v>
      </c>
      <c r="I29" s="175">
        <v>0.15</v>
      </c>
      <c r="J29" s="79">
        <f>Tabela1345[[#This Row],[PRICE]]*Tabela1345[[#This Row],[DISCOUNT per piece '[%']]]</f>
        <v>29.549999999999997</v>
      </c>
      <c r="K29" s="79">
        <f>Tabela1345[[#This Row],[PRICE]]*(1-Tabela1345[[#This Row],[DISCOUNT per piece '[%']]])</f>
        <v>167.45</v>
      </c>
      <c r="L29" s="176">
        <f>Tabela1345[[#This Row],[PCS]]*Tabela1345[[#This Row],[PROMOTIONAL PRICE]]</f>
        <v>0</v>
      </c>
      <c r="M29" s="497" cm="1">
        <f t="array" ref="M29">ROUNDUP(Tabela1345[[#This Row],[NEW PRICE]]*eurofxref_daily[],2)</f>
        <v>381.28999999999996</v>
      </c>
      <c r="N29" s="502">
        <f>Tabela1345[[#This Row],[CAD PRICE]]*O29</f>
        <v>0</v>
      </c>
      <c r="O29" s="62">
        <f>SUM(Tabela1345[[#This Row],[RAL 1023]:[Custom made colour (7% add price)]])</f>
        <v>0</v>
      </c>
      <c r="P29" s="62">
        <f>Tabela1345[[#This Row],[Weight (kg)]]*Tabela1345[[#This Row],[PCS]]</f>
        <v>0</v>
      </c>
      <c r="Q29" s="393"/>
      <c r="R29" s="482"/>
      <c r="S29" s="486"/>
      <c r="T29" s="466"/>
      <c r="U29" s="435"/>
      <c r="V29" s="467"/>
      <c r="W29" s="468"/>
      <c r="X29" s="436"/>
      <c r="Y29" s="470"/>
      <c r="Z29" s="469"/>
      <c r="AA29" s="449"/>
      <c r="AB29" s="449"/>
      <c r="AC29" s="403"/>
      <c r="AE29" s="29"/>
      <c r="AF29" s="30"/>
      <c r="AG29" s="30"/>
      <c r="AH29" s="30"/>
      <c r="AI29" s="30"/>
    </row>
    <row r="30" spans="2:35" ht="12" customHeight="1" thickBot="1" x14ac:dyDescent="0.3">
      <c r="B30" s="29" t="s">
        <v>480</v>
      </c>
      <c r="C30" s="92" t="s">
        <v>1526</v>
      </c>
      <c r="D30" s="207" t="s">
        <v>1096</v>
      </c>
      <c r="E30" s="78" t="s">
        <v>491</v>
      </c>
      <c r="F30" s="77">
        <v>3.8</v>
      </c>
      <c r="G30" s="224">
        <v>212</v>
      </c>
      <c r="H30" s="224">
        <f>ROUNDUP(Tabela1345[[#This Row],[PRICE]]*(1+PRICES!$C$4),0)</f>
        <v>255</v>
      </c>
      <c r="I30" s="175">
        <v>0.15</v>
      </c>
      <c r="J30" s="79">
        <f>Tabela1345[[#This Row],[PRICE]]*Tabela1345[[#This Row],[DISCOUNT per piece '[%']]]</f>
        <v>31.799999999999997</v>
      </c>
      <c r="K30" s="79">
        <f>Tabela1345[[#This Row],[PRICE]]*(1-Tabela1345[[#This Row],[DISCOUNT per piece '[%']]])</f>
        <v>180.2</v>
      </c>
      <c r="L30" s="176">
        <f>Tabela1345[[#This Row],[PCS]]*Tabela1345[[#This Row],[PROMOTIONAL PRICE]]</f>
        <v>0</v>
      </c>
      <c r="M30" s="497" cm="1">
        <f t="array" ref="M30">ROUNDUP(Tabela1345[[#This Row],[NEW PRICE]]*eurofxref_daily[],2)</f>
        <v>410.25</v>
      </c>
      <c r="N30" s="502">
        <f>Tabela1345[[#This Row],[CAD PRICE]]*O30</f>
        <v>0</v>
      </c>
      <c r="O30" s="62">
        <f>SUM(Tabela1345[[#This Row],[RAL 1023]:[Custom made colour (7% add price)]])</f>
        <v>0</v>
      </c>
      <c r="P30" s="62">
        <f>Tabela1345[[#This Row],[Weight (kg)]]*Tabela1345[[#This Row],[PCS]]</f>
        <v>0</v>
      </c>
      <c r="Q30" s="393"/>
      <c r="R30" s="482"/>
      <c r="S30" s="486"/>
      <c r="T30" s="466"/>
      <c r="U30" s="435"/>
      <c r="V30" s="467"/>
      <c r="W30" s="468"/>
      <c r="X30" s="436"/>
      <c r="Y30" s="470"/>
      <c r="Z30" s="469"/>
      <c r="AA30" s="449"/>
      <c r="AB30" s="449"/>
      <c r="AC30" s="403"/>
      <c r="AE30" s="29"/>
      <c r="AF30" s="30"/>
      <c r="AG30" s="30"/>
      <c r="AH30" s="30"/>
      <c r="AI30" s="30"/>
    </row>
    <row r="31" spans="2:35" ht="12" customHeight="1" thickBot="1" x14ac:dyDescent="0.3">
      <c r="B31" s="29" t="s">
        <v>481</v>
      </c>
      <c r="C31" s="92" t="s">
        <v>1527</v>
      </c>
      <c r="D31" s="207" t="s">
        <v>1093</v>
      </c>
      <c r="E31" s="78" t="s">
        <v>491</v>
      </c>
      <c r="F31" s="77">
        <v>3.8</v>
      </c>
      <c r="G31" s="224">
        <v>212</v>
      </c>
      <c r="H31" s="224">
        <f>ROUNDUP(Tabela1345[[#This Row],[PRICE]]*(1+PRICES!$C$4),0)</f>
        <v>255</v>
      </c>
      <c r="I31" s="175">
        <v>0.15</v>
      </c>
      <c r="J31" s="79">
        <f>Tabela1345[[#This Row],[PRICE]]*Tabela1345[[#This Row],[DISCOUNT per piece '[%']]]</f>
        <v>31.799999999999997</v>
      </c>
      <c r="K31" s="79">
        <f>Tabela1345[[#This Row],[PRICE]]*(1-Tabela1345[[#This Row],[DISCOUNT per piece '[%']]])</f>
        <v>180.2</v>
      </c>
      <c r="L31" s="176">
        <f>Tabela1345[[#This Row],[PCS]]*Tabela1345[[#This Row],[PROMOTIONAL PRICE]]</f>
        <v>0</v>
      </c>
      <c r="M31" s="497" cm="1">
        <f t="array" ref="M31">ROUNDUP(Tabela1345[[#This Row],[NEW PRICE]]*eurofxref_daily[],2)</f>
        <v>410.25</v>
      </c>
      <c r="N31" s="502">
        <f>Tabela1345[[#This Row],[CAD PRICE]]*O31</f>
        <v>0</v>
      </c>
      <c r="O31" s="62">
        <f>SUM(Tabela1345[[#This Row],[RAL 1023]:[Custom made colour (7% add price)]])</f>
        <v>0</v>
      </c>
      <c r="P31" s="62">
        <f>Tabela1345[[#This Row],[Weight (kg)]]*Tabela1345[[#This Row],[PCS]]</f>
        <v>0</v>
      </c>
      <c r="Q31" s="393"/>
      <c r="R31" s="482"/>
      <c r="S31" s="486"/>
      <c r="T31" s="466"/>
      <c r="U31" s="435"/>
      <c r="V31" s="467"/>
      <c r="W31" s="468"/>
      <c r="X31" s="436"/>
      <c r="Y31" s="470"/>
      <c r="Z31" s="469"/>
      <c r="AA31" s="449"/>
      <c r="AB31" s="449"/>
      <c r="AC31" s="403"/>
      <c r="AE31" s="29"/>
      <c r="AF31" s="30"/>
      <c r="AG31" s="30"/>
      <c r="AH31" s="30"/>
      <c r="AI31" s="30"/>
    </row>
    <row r="32" spans="2:35" ht="12" customHeight="1" thickBot="1" x14ac:dyDescent="0.3">
      <c r="B32" s="29" t="s">
        <v>482</v>
      </c>
      <c r="C32" s="92" t="s">
        <v>1528</v>
      </c>
      <c r="D32" s="207" t="s">
        <v>1094</v>
      </c>
      <c r="E32" s="48" t="s">
        <v>491</v>
      </c>
      <c r="F32" s="47">
        <v>4.5999999999999996</v>
      </c>
      <c r="G32" s="224">
        <v>212</v>
      </c>
      <c r="H32" s="224">
        <f>ROUNDUP(Tabela1345[[#This Row],[PRICE]]*(1+PRICES!$C$4),0)</f>
        <v>255</v>
      </c>
      <c r="I32" s="175">
        <v>0.15</v>
      </c>
      <c r="J32" s="49">
        <f>Tabela1345[[#This Row],[PRICE]]*Tabela1345[[#This Row],[DISCOUNT per piece '[%']]]</f>
        <v>31.799999999999997</v>
      </c>
      <c r="K32" s="49">
        <f>Tabela1345[[#This Row],[PRICE]]*(1-Tabela1345[[#This Row],[DISCOUNT per piece '[%']]])</f>
        <v>180.2</v>
      </c>
      <c r="L32" s="178">
        <f>Tabela1345[[#This Row],[PCS]]*Tabela1345[[#This Row],[PROMOTIONAL PRICE]]</f>
        <v>0</v>
      </c>
      <c r="M32" s="497" cm="1">
        <f t="array" ref="M32">ROUNDUP(Tabela1345[[#This Row],[NEW PRICE]]*eurofxref_daily[],2)</f>
        <v>410.25</v>
      </c>
      <c r="N32" s="502">
        <f>Tabela1345[[#This Row],[CAD PRICE]]*O32</f>
        <v>0</v>
      </c>
      <c r="O32" s="62">
        <f>SUM(Tabela1345[[#This Row],[RAL 1023]:[Custom made colour (7% add price)]])</f>
        <v>0</v>
      </c>
      <c r="P32" s="62">
        <f>Tabela1345[[#This Row],[Weight (kg)]]*Tabela1345[[#This Row],[PCS]]</f>
        <v>0</v>
      </c>
      <c r="Q32" s="393"/>
      <c r="R32" s="482"/>
      <c r="S32" s="486"/>
      <c r="T32" s="466"/>
      <c r="U32" s="435"/>
      <c r="V32" s="467"/>
      <c r="W32" s="468"/>
      <c r="X32" s="436"/>
      <c r="Y32" s="470"/>
      <c r="Z32" s="469"/>
      <c r="AA32" s="449"/>
      <c r="AB32" s="449"/>
      <c r="AC32" s="403"/>
      <c r="AE32" s="29"/>
      <c r="AF32" s="30"/>
      <c r="AG32" s="30"/>
      <c r="AH32" s="30"/>
      <c r="AI32" s="30"/>
    </row>
    <row r="33" spans="2:35" ht="12" customHeight="1" thickBot="1" x14ac:dyDescent="0.3">
      <c r="B33" s="29" t="s">
        <v>483</v>
      </c>
      <c r="C33" s="92" t="s">
        <v>1529</v>
      </c>
      <c r="D33" s="207" t="s">
        <v>1095</v>
      </c>
      <c r="E33" s="48" t="s">
        <v>492</v>
      </c>
      <c r="F33" s="47">
        <v>3.8</v>
      </c>
      <c r="G33" s="224">
        <v>234</v>
      </c>
      <c r="H33" s="224">
        <f>ROUNDUP(Tabela1345[[#This Row],[PRICE]]*(1+PRICES!$C$4),0)</f>
        <v>281</v>
      </c>
      <c r="I33" s="175">
        <v>0.15</v>
      </c>
      <c r="J33" s="49">
        <f>Tabela1345[[#This Row],[PRICE]]*Tabela1345[[#This Row],[DISCOUNT per piece '[%']]]</f>
        <v>35.1</v>
      </c>
      <c r="K33" s="49">
        <f>Tabela1345[[#This Row],[PRICE]]*(1-Tabela1345[[#This Row],[DISCOUNT per piece '[%']]])</f>
        <v>198.9</v>
      </c>
      <c r="L33" s="178">
        <f>Tabela1345[[#This Row],[PCS]]*Tabela1345[[#This Row],[PROMOTIONAL PRICE]]</f>
        <v>0</v>
      </c>
      <c r="M33" s="497" cm="1">
        <f t="array" ref="M33">ROUNDUP(Tabela1345[[#This Row],[NEW PRICE]]*eurofxref_daily[],2)</f>
        <v>452.08</v>
      </c>
      <c r="N33" s="502">
        <f>Tabela1345[[#This Row],[CAD PRICE]]*O33</f>
        <v>0</v>
      </c>
      <c r="O33" s="62">
        <f>SUM(Tabela1345[[#This Row],[RAL 1023]:[Custom made colour (7% add price)]])</f>
        <v>0</v>
      </c>
      <c r="P33" s="62">
        <f>Tabela1345[[#This Row],[Weight (kg)]]*Tabela1345[[#This Row],[PCS]]</f>
        <v>0</v>
      </c>
      <c r="Q33" s="393"/>
      <c r="R33" s="482"/>
      <c r="S33" s="486"/>
      <c r="T33" s="466"/>
      <c r="U33" s="435"/>
      <c r="V33" s="467"/>
      <c r="W33" s="468"/>
      <c r="X33" s="436"/>
      <c r="Y33" s="470"/>
      <c r="Z33" s="469"/>
      <c r="AA33" s="449"/>
      <c r="AB33" s="449"/>
      <c r="AC33" s="403"/>
      <c r="AE33" s="29"/>
      <c r="AF33" s="30"/>
      <c r="AG33" s="30"/>
      <c r="AH33" s="30"/>
      <c r="AI33" s="30"/>
    </row>
    <row r="34" spans="2:35" ht="12" customHeight="1" thickBot="1" x14ac:dyDescent="0.3">
      <c r="B34" s="29" t="s">
        <v>484</v>
      </c>
      <c r="C34" s="92" t="s">
        <v>1530</v>
      </c>
      <c r="D34" s="207" t="s">
        <v>1219</v>
      </c>
      <c r="E34" s="48" t="s">
        <v>492</v>
      </c>
      <c r="F34" s="47">
        <v>4.8</v>
      </c>
      <c r="G34" s="224">
        <v>234</v>
      </c>
      <c r="H34" s="224">
        <f>ROUNDUP(Tabela1345[[#This Row],[PRICE]]*(1+PRICES!$C$4),0)</f>
        <v>281</v>
      </c>
      <c r="I34" s="175">
        <v>0.15</v>
      </c>
      <c r="J34" s="49">
        <f>Tabela1345[[#This Row],[PRICE]]*Tabela1345[[#This Row],[DISCOUNT per piece '[%']]]</f>
        <v>35.1</v>
      </c>
      <c r="K34" s="49">
        <f>Tabela1345[[#This Row],[PRICE]]*(1-Tabela1345[[#This Row],[DISCOUNT per piece '[%']]])</f>
        <v>198.9</v>
      </c>
      <c r="L34" s="178">
        <f>Tabela1345[[#This Row],[PCS]]*Tabela1345[[#This Row],[PROMOTIONAL PRICE]]</f>
        <v>0</v>
      </c>
      <c r="M34" s="497" cm="1">
        <f t="array" ref="M34">ROUNDUP(Tabela1345[[#This Row],[NEW PRICE]]*eurofxref_daily[],2)</f>
        <v>452.08</v>
      </c>
      <c r="N34" s="502">
        <f>Tabela1345[[#This Row],[CAD PRICE]]*O34</f>
        <v>0</v>
      </c>
      <c r="O34" s="62">
        <f>SUM(Tabela1345[[#This Row],[RAL 1023]:[Custom made colour (7% add price)]])</f>
        <v>0</v>
      </c>
      <c r="P34" s="62">
        <f>Tabela1345[[#This Row],[Weight (kg)]]*Tabela1345[[#This Row],[PCS]]</f>
        <v>0</v>
      </c>
      <c r="Q34" s="393"/>
      <c r="R34" s="482"/>
      <c r="S34" s="486"/>
      <c r="T34" s="466"/>
      <c r="U34" s="435"/>
      <c r="V34" s="467"/>
      <c r="W34" s="468"/>
      <c r="X34" s="436"/>
      <c r="Y34" s="470"/>
      <c r="Z34" s="469"/>
      <c r="AA34" s="449"/>
      <c r="AB34" s="449"/>
      <c r="AC34" s="403"/>
      <c r="AE34" s="29"/>
      <c r="AF34" s="30"/>
      <c r="AG34" s="30"/>
      <c r="AH34" s="30"/>
      <c r="AI34" s="30"/>
    </row>
    <row r="35" spans="2:35" ht="12" customHeight="1" thickBot="1" x14ac:dyDescent="0.3">
      <c r="B35" s="29" t="s">
        <v>485</v>
      </c>
      <c r="C35" s="92" t="s">
        <v>1531</v>
      </c>
      <c r="D35" s="207" t="s">
        <v>1220</v>
      </c>
      <c r="E35" s="48" t="s">
        <v>492</v>
      </c>
      <c r="F35" s="47">
        <v>4.5999999999999996</v>
      </c>
      <c r="G35" s="224">
        <v>234</v>
      </c>
      <c r="H35" s="224">
        <f>ROUNDUP(Tabela1345[[#This Row],[PRICE]]*(1+PRICES!$C$4),0)</f>
        <v>281</v>
      </c>
      <c r="I35" s="175">
        <v>0.15</v>
      </c>
      <c r="J35" s="49">
        <f>Tabela1345[[#This Row],[PRICE]]*Tabela1345[[#This Row],[DISCOUNT per piece '[%']]]</f>
        <v>35.1</v>
      </c>
      <c r="K35" s="49">
        <f>Tabela1345[[#This Row],[PRICE]]*(1-Tabela1345[[#This Row],[DISCOUNT per piece '[%']]])</f>
        <v>198.9</v>
      </c>
      <c r="L35" s="178">
        <f>Tabela1345[[#This Row],[PCS]]*Tabela1345[[#This Row],[PROMOTIONAL PRICE]]</f>
        <v>0</v>
      </c>
      <c r="M35" s="497" cm="1">
        <f t="array" ref="M35">ROUNDUP(Tabela1345[[#This Row],[NEW PRICE]]*eurofxref_daily[],2)</f>
        <v>452.08</v>
      </c>
      <c r="N35" s="502">
        <f>Tabela1345[[#This Row],[CAD PRICE]]*O35</f>
        <v>0</v>
      </c>
      <c r="O35" s="62">
        <f>SUM(Tabela1345[[#This Row],[RAL 1023]:[Custom made colour (7% add price)]])</f>
        <v>0</v>
      </c>
      <c r="P35" s="62">
        <f>Tabela1345[[#This Row],[Weight (kg)]]*Tabela1345[[#This Row],[PCS]]</f>
        <v>0</v>
      </c>
      <c r="Q35" s="393"/>
      <c r="R35" s="482"/>
      <c r="S35" s="486"/>
      <c r="T35" s="466"/>
      <c r="U35" s="435"/>
      <c r="V35" s="467"/>
      <c r="W35" s="468"/>
      <c r="X35" s="436"/>
      <c r="Y35" s="470"/>
      <c r="Z35" s="469"/>
      <c r="AA35" s="449"/>
      <c r="AB35" s="449"/>
      <c r="AC35" s="403"/>
      <c r="AE35" s="29"/>
      <c r="AF35" s="30"/>
      <c r="AG35" s="30"/>
      <c r="AH35" s="30"/>
      <c r="AI35" s="30"/>
    </row>
    <row r="36" spans="2:35" ht="12" customHeight="1" thickBot="1" x14ac:dyDescent="0.3">
      <c r="B36" s="350"/>
      <c r="C36" s="139" t="s">
        <v>1543</v>
      </c>
      <c r="D36" s="126"/>
      <c r="E36" s="124"/>
      <c r="F36" s="124"/>
      <c r="G36" s="358"/>
      <c r="H36" s="348"/>
      <c r="I36" s="124"/>
      <c r="J36" s="124"/>
      <c r="K36" s="124"/>
      <c r="L36" s="215"/>
      <c r="M36" s="124"/>
      <c r="N36" s="124"/>
      <c r="O36" s="124"/>
      <c r="P36" s="140"/>
      <c r="Q36" s="392"/>
      <c r="R36" s="399"/>
      <c r="S36" s="392"/>
      <c r="T36" s="399"/>
      <c r="U36" s="399"/>
      <c r="V36" s="399"/>
      <c r="W36" s="399"/>
      <c r="X36" s="399"/>
      <c r="Y36" s="399"/>
      <c r="Z36" s="461"/>
      <c r="AA36" s="461"/>
      <c r="AB36" s="461"/>
      <c r="AC36" s="80"/>
      <c r="AE36" s="29"/>
      <c r="AF36" s="30"/>
      <c r="AG36" s="30"/>
      <c r="AH36" s="30"/>
      <c r="AI36" s="30"/>
    </row>
    <row r="37" spans="2:35" ht="12" customHeight="1" thickBot="1" x14ac:dyDescent="0.3">
      <c r="B37" s="29" t="s">
        <v>1354</v>
      </c>
      <c r="C37" s="94" t="s">
        <v>1532</v>
      </c>
      <c r="D37" s="231" t="s">
        <v>1097</v>
      </c>
      <c r="E37" s="141" t="s">
        <v>487</v>
      </c>
      <c r="F37" s="142">
        <v>5</v>
      </c>
      <c r="G37" s="224">
        <v>218</v>
      </c>
      <c r="H37" s="224">
        <f>ROUNDUP(Tabela1345[[#This Row],[PRICE]]*(1+PRICES!$C$4),0)</f>
        <v>262</v>
      </c>
      <c r="I37" s="144">
        <v>0.15</v>
      </c>
      <c r="J37" s="143">
        <f>Tabela1345[[#This Row],[PRICE]]*Tabela1345[[#This Row],[DISCOUNT per piece '[%']]]</f>
        <v>32.699999999999996</v>
      </c>
      <c r="K37" s="143">
        <f>Tabela1345[[#This Row],[PRICE]]*(1-Tabela1345[[#This Row],[DISCOUNT per piece '[%']]])</f>
        <v>185.29999999999998</v>
      </c>
      <c r="L37" s="232">
        <f>Tabela1345[[#This Row],[PCS]]*Tabela1345[[#This Row],[PROMOTIONAL PRICE]]</f>
        <v>0</v>
      </c>
      <c r="M37" s="497" cm="1">
        <f t="array" ref="M37">ROUNDUP(Tabela1345[[#This Row],[NEW PRICE]]*eurofxref_daily[],2)</f>
        <v>421.51</v>
      </c>
      <c r="N37" s="502">
        <f>Tabela1345[[#This Row],[CAD PRICE]]*O37</f>
        <v>0</v>
      </c>
      <c r="O37" s="128">
        <f t="shared" ref="O37:O47" si="2">SUM(R37:AC37)</f>
        <v>0</v>
      </c>
      <c r="P37" s="128">
        <f t="shared" ref="P37:P47" si="3">O37*F37</f>
        <v>0</v>
      </c>
      <c r="Q37" s="395" t="s">
        <v>2067</v>
      </c>
      <c r="R37" s="482"/>
      <c r="S37" s="486"/>
      <c r="T37" s="466"/>
      <c r="U37" s="435"/>
      <c r="V37" s="467"/>
      <c r="W37" s="468"/>
      <c r="X37" s="436"/>
      <c r="Y37" s="470"/>
      <c r="Z37" s="469"/>
      <c r="AA37" s="449"/>
      <c r="AB37" s="449"/>
      <c r="AC37" s="403"/>
      <c r="AE37" s="29"/>
      <c r="AF37" s="30"/>
      <c r="AG37" s="30"/>
      <c r="AH37" s="30"/>
      <c r="AI37" s="30"/>
    </row>
    <row r="38" spans="2:35" ht="12" customHeight="1" thickBot="1" x14ac:dyDescent="0.3">
      <c r="B38" s="29" t="s">
        <v>1355</v>
      </c>
      <c r="C38" s="92" t="s">
        <v>1533</v>
      </c>
      <c r="D38" s="207" t="s">
        <v>1098</v>
      </c>
      <c r="E38" s="78" t="s">
        <v>488</v>
      </c>
      <c r="F38" s="77">
        <v>12</v>
      </c>
      <c r="G38" s="224">
        <v>276</v>
      </c>
      <c r="H38" s="224">
        <f>ROUNDUP(Tabela1345[[#This Row],[PRICE]]*(1+PRICES!$C$4),0)</f>
        <v>332</v>
      </c>
      <c r="I38" s="175">
        <v>0.15</v>
      </c>
      <c r="J38" s="79">
        <f>Tabela1345[[#This Row],[PRICE]]*Tabela1345[[#This Row],[DISCOUNT per piece '[%']]]</f>
        <v>41.4</v>
      </c>
      <c r="K38" s="79">
        <f>Tabela1345[[#This Row],[PRICE]]*(1-Tabela1345[[#This Row],[DISCOUNT per piece '[%']]])</f>
        <v>234.6</v>
      </c>
      <c r="L38" s="176">
        <f>Tabela1345[[#This Row],[PCS]]*Tabela1345[[#This Row],[PROMOTIONAL PRICE]]</f>
        <v>0</v>
      </c>
      <c r="M38" s="497" cm="1">
        <f t="array" ref="M38">ROUNDUP(Tabela1345[[#This Row],[NEW PRICE]]*eurofxref_daily[],2)</f>
        <v>534.13</v>
      </c>
      <c r="N38" s="502">
        <f>Tabela1345[[#This Row],[CAD PRICE]]*O38</f>
        <v>0</v>
      </c>
      <c r="O38" s="128">
        <f t="shared" si="2"/>
        <v>0</v>
      </c>
      <c r="P38" s="128">
        <f t="shared" si="3"/>
        <v>0</v>
      </c>
      <c r="Q38" s="395" t="s">
        <v>2067</v>
      </c>
      <c r="R38" s="482"/>
      <c r="S38" s="486"/>
      <c r="T38" s="466"/>
      <c r="U38" s="435"/>
      <c r="V38" s="467"/>
      <c r="W38" s="468"/>
      <c r="X38" s="436"/>
      <c r="Y38" s="470"/>
      <c r="Z38" s="469"/>
      <c r="AA38" s="449"/>
      <c r="AB38" s="449"/>
      <c r="AC38" s="403"/>
      <c r="AE38" s="29"/>
      <c r="AF38" s="30"/>
      <c r="AG38" s="30"/>
      <c r="AH38" s="30"/>
      <c r="AI38" s="30"/>
    </row>
    <row r="39" spans="2:35" ht="12" customHeight="1" thickBot="1" x14ac:dyDescent="0.3">
      <c r="B39" s="29" t="s">
        <v>1356</v>
      </c>
      <c r="C39" s="92" t="s">
        <v>1534</v>
      </c>
      <c r="D39" s="231" t="s">
        <v>1099</v>
      </c>
      <c r="E39" s="78" t="s">
        <v>489</v>
      </c>
      <c r="F39" s="77">
        <v>1.2</v>
      </c>
      <c r="G39" s="224">
        <v>122</v>
      </c>
      <c r="H39" s="224">
        <f>ROUNDUP(Tabela1345[[#This Row],[PRICE]]*(1+PRICES!$C$4),0)</f>
        <v>147</v>
      </c>
      <c r="I39" s="175">
        <v>0.15</v>
      </c>
      <c r="J39" s="79">
        <f>Tabela1345[[#This Row],[PRICE]]*Tabela1345[[#This Row],[DISCOUNT per piece '[%']]]</f>
        <v>18.3</v>
      </c>
      <c r="K39" s="79">
        <f>Tabela1345[[#This Row],[PRICE]]*(1-Tabela1345[[#This Row],[DISCOUNT per piece '[%']]])</f>
        <v>103.7</v>
      </c>
      <c r="L39" s="176">
        <f>Tabela1345[[#This Row],[PCS]]*Tabela1345[[#This Row],[PROMOTIONAL PRICE]]</f>
        <v>0</v>
      </c>
      <c r="M39" s="497" cm="1">
        <f t="array" ref="M39">ROUNDUP(Tabela1345[[#This Row],[NEW PRICE]]*eurofxref_daily[],2)</f>
        <v>236.5</v>
      </c>
      <c r="N39" s="502">
        <f>Tabela1345[[#This Row],[CAD PRICE]]*O39</f>
        <v>0</v>
      </c>
      <c r="O39" s="128">
        <f t="shared" si="2"/>
        <v>0</v>
      </c>
      <c r="P39" s="128">
        <f t="shared" si="3"/>
        <v>0</v>
      </c>
      <c r="Q39" s="395" t="s">
        <v>2067</v>
      </c>
      <c r="R39" s="482"/>
      <c r="S39" s="486"/>
      <c r="T39" s="466"/>
      <c r="U39" s="435"/>
      <c r="V39" s="467"/>
      <c r="W39" s="468"/>
      <c r="X39" s="436"/>
      <c r="Y39" s="470"/>
      <c r="Z39" s="469"/>
      <c r="AA39" s="449"/>
      <c r="AB39" s="449"/>
      <c r="AC39" s="403"/>
      <c r="AE39" s="29"/>
      <c r="AF39" s="30"/>
      <c r="AG39" s="30"/>
      <c r="AH39" s="30"/>
      <c r="AI39" s="30"/>
    </row>
    <row r="40" spans="2:35" ht="12" customHeight="1" thickBot="1" x14ac:dyDescent="0.3">
      <c r="B40" s="29" t="s">
        <v>1357</v>
      </c>
      <c r="C40" s="92" t="s">
        <v>1535</v>
      </c>
      <c r="D40" s="207" t="s">
        <v>1100</v>
      </c>
      <c r="E40" s="78" t="s">
        <v>490</v>
      </c>
      <c r="F40" s="77">
        <v>3.6</v>
      </c>
      <c r="G40" s="224">
        <v>250</v>
      </c>
      <c r="H40" s="224">
        <f>ROUNDUP(Tabela1345[[#This Row],[PRICE]]*(1+PRICES!$C$4),0)</f>
        <v>300</v>
      </c>
      <c r="I40" s="175">
        <v>0.15</v>
      </c>
      <c r="J40" s="79">
        <f>Tabela1345[[#This Row],[PRICE]]*Tabela1345[[#This Row],[DISCOUNT per piece '[%']]]</f>
        <v>37.5</v>
      </c>
      <c r="K40" s="79">
        <f>Tabela1345[[#This Row],[PRICE]]*(1-Tabela1345[[#This Row],[DISCOUNT per piece '[%']]])</f>
        <v>212.5</v>
      </c>
      <c r="L40" s="176">
        <f>Tabela1345[[#This Row],[PCS]]*Tabela1345[[#This Row],[PROMOTIONAL PRICE]]</f>
        <v>0</v>
      </c>
      <c r="M40" s="497" cm="1">
        <f t="array" ref="M40">ROUNDUP(Tabela1345[[#This Row],[NEW PRICE]]*eurofxref_daily[],2)</f>
        <v>482.64</v>
      </c>
      <c r="N40" s="502">
        <f>Tabela1345[[#This Row],[CAD PRICE]]*O40</f>
        <v>0</v>
      </c>
      <c r="O40" s="128">
        <f t="shared" si="2"/>
        <v>0</v>
      </c>
      <c r="P40" s="128">
        <f t="shared" si="3"/>
        <v>0</v>
      </c>
      <c r="Q40" s="395" t="s">
        <v>2067</v>
      </c>
      <c r="R40" s="482"/>
      <c r="S40" s="486"/>
      <c r="T40" s="466"/>
      <c r="U40" s="435"/>
      <c r="V40" s="467"/>
      <c r="W40" s="468"/>
      <c r="X40" s="436"/>
      <c r="Y40" s="470"/>
      <c r="Z40" s="469"/>
      <c r="AA40" s="449"/>
      <c r="AB40" s="449"/>
      <c r="AC40" s="403"/>
      <c r="AE40" s="29"/>
      <c r="AF40" s="30"/>
      <c r="AG40" s="30"/>
      <c r="AH40" s="30"/>
      <c r="AI40" s="30"/>
    </row>
    <row r="41" spans="2:35" ht="12" customHeight="1" thickBot="1" x14ac:dyDescent="0.3">
      <c r="B41" s="29" t="s">
        <v>1358</v>
      </c>
      <c r="C41" s="92" t="s">
        <v>1536</v>
      </c>
      <c r="D41" s="207" t="s">
        <v>1101</v>
      </c>
      <c r="E41" s="48" t="s">
        <v>491</v>
      </c>
      <c r="F41" s="47">
        <v>3.6</v>
      </c>
      <c r="G41" s="224">
        <v>250</v>
      </c>
      <c r="H41" s="224">
        <f>ROUNDUP(Tabela1345[[#This Row],[PRICE]]*(1+PRICES!$C$4),0)</f>
        <v>300</v>
      </c>
      <c r="I41" s="175">
        <v>0.15</v>
      </c>
      <c r="J41" s="49">
        <f>Tabela1345[[#This Row],[PRICE]]*Tabela1345[[#This Row],[DISCOUNT per piece '[%']]]</f>
        <v>37.5</v>
      </c>
      <c r="K41" s="49">
        <f>Tabela1345[[#This Row],[PRICE]]*(1-Tabela1345[[#This Row],[DISCOUNT per piece '[%']]])</f>
        <v>212.5</v>
      </c>
      <c r="L41" s="178">
        <f>Tabela1345[[#This Row],[PCS]]*Tabela1345[[#This Row],[PROMOTIONAL PRICE]]</f>
        <v>0</v>
      </c>
      <c r="M41" s="497" cm="1">
        <f t="array" ref="M41">ROUNDUP(Tabela1345[[#This Row],[NEW PRICE]]*eurofxref_daily[],2)</f>
        <v>482.64</v>
      </c>
      <c r="N41" s="502">
        <f>Tabela1345[[#This Row],[CAD PRICE]]*O41</f>
        <v>0</v>
      </c>
      <c r="O41" s="128">
        <f t="shared" si="2"/>
        <v>0</v>
      </c>
      <c r="P41" s="128">
        <f t="shared" si="3"/>
        <v>0</v>
      </c>
      <c r="Q41" s="395" t="s">
        <v>2067</v>
      </c>
      <c r="R41" s="482"/>
      <c r="S41" s="486"/>
      <c r="T41" s="466"/>
      <c r="U41" s="435"/>
      <c r="V41" s="467"/>
      <c r="W41" s="468"/>
      <c r="X41" s="436"/>
      <c r="Y41" s="470"/>
      <c r="Z41" s="469"/>
      <c r="AA41" s="449"/>
      <c r="AB41" s="449"/>
      <c r="AC41" s="403"/>
      <c r="AE41" s="29"/>
      <c r="AF41" s="30"/>
      <c r="AG41" s="30"/>
      <c r="AH41" s="30"/>
      <c r="AI41" s="30"/>
    </row>
    <row r="42" spans="2:35" ht="12" customHeight="1" thickBot="1" x14ac:dyDescent="0.3">
      <c r="B42" s="29" t="s">
        <v>1359</v>
      </c>
      <c r="C42" s="92" t="s">
        <v>1537</v>
      </c>
      <c r="D42" s="207" t="s">
        <v>1102</v>
      </c>
      <c r="E42" s="48" t="s">
        <v>491</v>
      </c>
      <c r="F42" s="47">
        <v>3.8</v>
      </c>
      <c r="G42" s="224">
        <v>260</v>
      </c>
      <c r="H42" s="224">
        <f>ROUNDUP(Tabela1345[[#This Row],[PRICE]]*(1+PRICES!$C$4),0)</f>
        <v>312</v>
      </c>
      <c r="I42" s="175">
        <v>0.15</v>
      </c>
      <c r="J42" s="49">
        <f>Tabela1345[[#This Row],[PRICE]]*Tabela1345[[#This Row],[DISCOUNT per piece '[%']]]</f>
        <v>39</v>
      </c>
      <c r="K42" s="49">
        <f>Tabela1345[[#This Row],[PRICE]]*(1-Tabela1345[[#This Row],[DISCOUNT per piece '[%']]])</f>
        <v>221</v>
      </c>
      <c r="L42" s="178">
        <f>Tabela1345[[#This Row],[PCS]]*Tabela1345[[#This Row],[PROMOTIONAL PRICE]]</f>
        <v>0</v>
      </c>
      <c r="M42" s="497" cm="1">
        <f t="array" ref="M42">ROUNDUP(Tabela1345[[#This Row],[NEW PRICE]]*eurofxref_daily[],2)</f>
        <v>501.95</v>
      </c>
      <c r="N42" s="502">
        <f>Tabela1345[[#This Row],[CAD PRICE]]*O42</f>
        <v>0</v>
      </c>
      <c r="O42" s="128">
        <f t="shared" si="2"/>
        <v>0</v>
      </c>
      <c r="P42" s="128">
        <f t="shared" si="3"/>
        <v>0</v>
      </c>
      <c r="Q42" s="395" t="s">
        <v>2067</v>
      </c>
      <c r="R42" s="482"/>
      <c r="S42" s="486"/>
      <c r="T42" s="466"/>
      <c r="U42" s="435"/>
      <c r="V42" s="467"/>
      <c r="W42" s="468"/>
      <c r="X42" s="436"/>
      <c r="Y42" s="470"/>
      <c r="Z42" s="469"/>
      <c r="AA42" s="449"/>
      <c r="AB42" s="449"/>
      <c r="AC42" s="403"/>
      <c r="AE42" s="29"/>
      <c r="AF42" s="30"/>
      <c r="AG42" s="30"/>
      <c r="AH42" s="30"/>
      <c r="AI42" s="30"/>
    </row>
    <row r="43" spans="2:35" ht="12" customHeight="1" thickBot="1" x14ac:dyDescent="0.3">
      <c r="B43" s="29" t="s">
        <v>1360</v>
      </c>
      <c r="C43" s="92" t="s">
        <v>1538</v>
      </c>
      <c r="D43" s="207" t="s">
        <v>1105</v>
      </c>
      <c r="E43" s="48" t="s">
        <v>491</v>
      </c>
      <c r="F43" s="47">
        <v>3.8</v>
      </c>
      <c r="G43" s="224">
        <v>260</v>
      </c>
      <c r="H43" s="224">
        <f>ROUNDUP(Tabela1345[[#This Row],[PRICE]]*(1+PRICES!$C$4),0)</f>
        <v>312</v>
      </c>
      <c r="I43" s="175">
        <v>0.15</v>
      </c>
      <c r="J43" s="49">
        <f>Tabela1345[[#This Row],[PRICE]]*Tabela1345[[#This Row],[DISCOUNT per piece '[%']]]</f>
        <v>39</v>
      </c>
      <c r="K43" s="49">
        <f>Tabela1345[[#This Row],[PRICE]]*(1-Tabela1345[[#This Row],[DISCOUNT per piece '[%']]])</f>
        <v>221</v>
      </c>
      <c r="L43" s="178">
        <f>Tabela1345[[#This Row],[PCS]]*Tabela1345[[#This Row],[PROMOTIONAL PRICE]]</f>
        <v>0</v>
      </c>
      <c r="M43" s="497" cm="1">
        <f t="array" ref="M43">ROUNDUP(Tabela1345[[#This Row],[NEW PRICE]]*eurofxref_daily[],2)</f>
        <v>501.95</v>
      </c>
      <c r="N43" s="502">
        <f>Tabela1345[[#This Row],[CAD PRICE]]*O43</f>
        <v>0</v>
      </c>
      <c r="O43" s="128">
        <f t="shared" si="2"/>
        <v>0</v>
      </c>
      <c r="P43" s="128">
        <f t="shared" si="3"/>
        <v>0</v>
      </c>
      <c r="Q43" s="395" t="s">
        <v>2067</v>
      </c>
      <c r="R43" s="482"/>
      <c r="S43" s="486"/>
      <c r="T43" s="466"/>
      <c r="U43" s="435"/>
      <c r="V43" s="467"/>
      <c r="W43" s="468"/>
      <c r="X43" s="436"/>
      <c r="Y43" s="470"/>
      <c r="Z43" s="469"/>
      <c r="AA43" s="449"/>
      <c r="AB43" s="449"/>
      <c r="AC43" s="403"/>
      <c r="AE43" s="29"/>
      <c r="AF43" s="30"/>
      <c r="AG43" s="30"/>
      <c r="AH43" s="30"/>
      <c r="AI43" s="30"/>
    </row>
    <row r="44" spans="2:35" ht="12" customHeight="1" thickBot="1" x14ac:dyDescent="0.3">
      <c r="B44" s="29" t="s">
        <v>1361</v>
      </c>
      <c r="C44" s="92" t="s">
        <v>1539</v>
      </c>
      <c r="D44" s="207" t="s">
        <v>1103</v>
      </c>
      <c r="E44" s="78" t="s">
        <v>491</v>
      </c>
      <c r="F44" s="77">
        <v>4.5999999999999996</v>
      </c>
      <c r="G44" s="224">
        <v>260</v>
      </c>
      <c r="H44" s="224">
        <f>ROUNDUP(Tabela1345[[#This Row],[PRICE]]*(1+PRICES!$C$4),0)</f>
        <v>312</v>
      </c>
      <c r="I44" s="175">
        <v>0.15</v>
      </c>
      <c r="J44" s="79">
        <f>Tabela1345[[#This Row],[PRICE]]*Tabela1345[[#This Row],[DISCOUNT per piece '[%']]]</f>
        <v>39</v>
      </c>
      <c r="K44" s="79">
        <f>Tabela1345[[#This Row],[PRICE]]*(1-Tabela1345[[#This Row],[DISCOUNT per piece '[%']]])</f>
        <v>221</v>
      </c>
      <c r="L44" s="176">
        <f>Tabela1345[[#This Row],[PCS]]*Tabela1345[[#This Row],[PROMOTIONAL PRICE]]</f>
        <v>0</v>
      </c>
      <c r="M44" s="497" cm="1">
        <f t="array" ref="M44">ROUNDUP(Tabela1345[[#This Row],[NEW PRICE]]*eurofxref_daily[],2)</f>
        <v>501.95</v>
      </c>
      <c r="N44" s="502">
        <f>Tabela1345[[#This Row],[CAD PRICE]]*O44</f>
        <v>0</v>
      </c>
      <c r="O44" s="128">
        <f t="shared" si="2"/>
        <v>0</v>
      </c>
      <c r="P44" s="128">
        <f t="shared" si="3"/>
        <v>0</v>
      </c>
      <c r="Q44" s="395" t="s">
        <v>2067</v>
      </c>
      <c r="R44" s="482"/>
      <c r="S44" s="486"/>
      <c r="T44" s="466"/>
      <c r="U44" s="435"/>
      <c r="V44" s="467"/>
      <c r="W44" s="468"/>
      <c r="X44" s="436"/>
      <c r="Y44" s="470"/>
      <c r="Z44" s="469"/>
      <c r="AA44" s="449"/>
      <c r="AB44" s="449"/>
      <c r="AC44" s="403"/>
      <c r="AE44" s="29"/>
      <c r="AF44" s="30"/>
      <c r="AG44" s="30"/>
      <c r="AH44" s="30"/>
      <c r="AI44" s="30"/>
    </row>
    <row r="45" spans="2:35" ht="12" customHeight="1" thickBot="1" x14ac:dyDescent="0.3">
      <c r="B45" s="29" t="s">
        <v>1362</v>
      </c>
      <c r="C45" s="92" t="s">
        <v>1540</v>
      </c>
      <c r="D45" s="207" t="s">
        <v>1104</v>
      </c>
      <c r="E45" s="78" t="s">
        <v>492</v>
      </c>
      <c r="F45" s="77">
        <v>3.8</v>
      </c>
      <c r="G45" s="224">
        <v>281</v>
      </c>
      <c r="H45" s="224">
        <f>ROUNDUP(Tabela1345[[#This Row],[PRICE]]*(1+PRICES!$C$4),0)</f>
        <v>338</v>
      </c>
      <c r="I45" s="175">
        <v>0.15</v>
      </c>
      <c r="J45" s="79">
        <f>Tabela1345[[#This Row],[PRICE]]*Tabela1345[[#This Row],[DISCOUNT per piece '[%']]]</f>
        <v>42.15</v>
      </c>
      <c r="K45" s="79">
        <f>Tabela1345[[#This Row],[PRICE]]*(1-Tabela1345[[#This Row],[DISCOUNT per piece '[%']]])</f>
        <v>238.85</v>
      </c>
      <c r="L45" s="176">
        <f>Tabela1345[[#This Row],[PCS]]*Tabela1345[[#This Row],[PROMOTIONAL PRICE]]</f>
        <v>0</v>
      </c>
      <c r="M45" s="497" cm="1">
        <f t="array" ref="M45">ROUNDUP(Tabela1345[[#This Row],[NEW PRICE]]*eurofxref_daily[],2)</f>
        <v>543.78</v>
      </c>
      <c r="N45" s="502">
        <f>Tabela1345[[#This Row],[CAD PRICE]]*O45</f>
        <v>0</v>
      </c>
      <c r="O45" s="128">
        <f t="shared" si="2"/>
        <v>0</v>
      </c>
      <c r="P45" s="128">
        <f t="shared" si="3"/>
        <v>0</v>
      </c>
      <c r="Q45" s="395" t="s">
        <v>2067</v>
      </c>
      <c r="R45" s="482"/>
      <c r="S45" s="486"/>
      <c r="T45" s="466"/>
      <c r="U45" s="435"/>
      <c r="V45" s="467"/>
      <c r="W45" s="468"/>
      <c r="X45" s="436"/>
      <c r="Y45" s="470"/>
      <c r="Z45" s="469"/>
      <c r="AA45" s="449"/>
      <c r="AB45" s="449"/>
      <c r="AC45" s="403"/>
      <c r="AE45" s="29"/>
      <c r="AF45" s="30"/>
      <c r="AG45" s="30"/>
      <c r="AH45" s="30"/>
      <c r="AI45" s="30"/>
    </row>
    <row r="46" spans="2:35" ht="12" customHeight="1" thickBot="1" x14ac:dyDescent="0.3">
      <c r="B46" s="29" t="s">
        <v>1363</v>
      </c>
      <c r="C46" s="92" t="s">
        <v>1541</v>
      </c>
      <c r="D46" s="207" t="s">
        <v>1365</v>
      </c>
      <c r="E46" s="78" t="s">
        <v>492</v>
      </c>
      <c r="F46" s="77">
        <v>4.8</v>
      </c>
      <c r="G46" s="224">
        <v>281</v>
      </c>
      <c r="H46" s="224">
        <f>ROUNDUP(Tabela1345[[#This Row],[PRICE]]*(1+PRICES!$C$4),0)</f>
        <v>338</v>
      </c>
      <c r="I46" s="175">
        <v>0.15</v>
      </c>
      <c r="J46" s="79">
        <f>Tabela1345[[#This Row],[PRICE]]*Tabela1345[[#This Row],[DISCOUNT per piece '[%']]]</f>
        <v>42.15</v>
      </c>
      <c r="K46" s="79">
        <f>Tabela1345[[#This Row],[PRICE]]*(1-Tabela1345[[#This Row],[DISCOUNT per piece '[%']]])</f>
        <v>238.85</v>
      </c>
      <c r="L46" s="176">
        <f>Tabela1345[[#This Row],[PCS]]*Tabela1345[[#This Row],[PROMOTIONAL PRICE]]</f>
        <v>0</v>
      </c>
      <c r="M46" s="497" cm="1">
        <f t="array" ref="M46">ROUNDUP(Tabela1345[[#This Row],[NEW PRICE]]*eurofxref_daily[],2)</f>
        <v>543.78</v>
      </c>
      <c r="N46" s="502">
        <f>Tabela1345[[#This Row],[CAD PRICE]]*O46</f>
        <v>0</v>
      </c>
      <c r="O46" s="128">
        <f t="shared" si="2"/>
        <v>0</v>
      </c>
      <c r="P46" s="128">
        <f t="shared" si="3"/>
        <v>0</v>
      </c>
      <c r="Q46" s="395" t="s">
        <v>2067</v>
      </c>
      <c r="R46" s="482"/>
      <c r="S46" s="486"/>
      <c r="T46" s="466"/>
      <c r="U46" s="435"/>
      <c r="V46" s="467"/>
      <c r="W46" s="468"/>
      <c r="X46" s="436"/>
      <c r="Y46" s="470"/>
      <c r="Z46" s="469"/>
      <c r="AA46" s="449"/>
      <c r="AB46" s="449"/>
      <c r="AC46" s="403"/>
      <c r="AE46" s="29"/>
      <c r="AF46" s="30"/>
      <c r="AG46" s="30"/>
      <c r="AH46" s="30"/>
      <c r="AI46" s="30"/>
    </row>
    <row r="47" spans="2:35" ht="12" customHeight="1" thickBot="1" x14ac:dyDescent="0.3">
      <c r="B47" s="29" t="s">
        <v>1364</v>
      </c>
      <c r="C47" s="93" t="s">
        <v>1542</v>
      </c>
      <c r="D47" s="207" t="s">
        <v>1366</v>
      </c>
      <c r="E47" s="233" t="s">
        <v>492</v>
      </c>
      <c r="F47" s="234">
        <v>4.5999999999999996</v>
      </c>
      <c r="G47" s="224">
        <v>281</v>
      </c>
      <c r="H47" s="224">
        <f>ROUNDUP(Tabela1345[[#This Row],[PRICE]]*(1+PRICES!$C$4),0)</f>
        <v>338</v>
      </c>
      <c r="I47" s="236">
        <v>0.15</v>
      </c>
      <c r="J47" s="235">
        <f>Tabela1345[[#This Row],[PRICE]]*Tabela1345[[#This Row],[DISCOUNT per piece '[%']]]</f>
        <v>42.15</v>
      </c>
      <c r="K47" s="235">
        <f>Tabela1345[[#This Row],[PRICE]]*(1-Tabela1345[[#This Row],[DISCOUNT per piece '[%']]])</f>
        <v>238.85</v>
      </c>
      <c r="L47" s="237">
        <f>Tabela1345[[#This Row],[PCS]]*Tabela1345[[#This Row],[PROMOTIONAL PRICE]]</f>
        <v>0</v>
      </c>
      <c r="M47" s="497" cm="1">
        <f t="array" ref="M47">ROUNDUP(Tabela1345[[#This Row],[NEW PRICE]]*eurofxref_daily[],2)</f>
        <v>543.78</v>
      </c>
      <c r="N47" s="502">
        <f>Tabela1345[[#This Row],[CAD PRICE]]*O47</f>
        <v>0</v>
      </c>
      <c r="O47" s="128">
        <f t="shared" si="2"/>
        <v>0</v>
      </c>
      <c r="P47" s="128">
        <f t="shared" si="3"/>
        <v>0</v>
      </c>
      <c r="Q47" s="395" t="s">
        <v>2067</v>
      </c>
      <c r="R47" s="482"/>
      <c r="S47" s="486"/>
      <c r="T47" s="466"/>
      <c r="U47" s="435"/>
      <c r="V47" s="467"/>
      <c r="W47" s="468"/>
      <c r="X47" s="436"/>
      <c r="Y47" s="470"/>
      <c r="Z47" s="469"/>
      <c r="AA47" s="449"/>
      <c r="AB47" s="449"/>
      <c r="AC47" s="403"/>
      <c r="AE47" s="29"/>
      <c r="AF47" s="30"/>
      <c r="AG47" s="30"/>
      <c r="AH47" s="30"/>
      <c r="AI47" s="30"/>
    </row>
    <row r="48" spans="2:35" ht="12" customHeight="1" thickBot="1" x14ac:dyDescent="0.3">
      <c r="B48" s="350"/>
      <c r="C48" s="139" t="s">
        <v>1544</v>
      </c>
      <c r="D48" s="126"/>
      <c r="E48" s="124"/>
      <c r="F48" s="124"/>
      <c r="G48" s="358"/>
      <c r="H48" s="348"/>
      <c r="I48" s="124"/>
      <c r="J48" s="124"/>
      <c r="K48" s="124"/>
      <c r="L48" s="215"/>
      <c r="M48" s="124"/>
      <c r="N48" s="124"/>
      <c r="O48" s="124"/>
      <c r="P48" s="140"/>
      <c r="Q48" s="392"/>
      <c r="R48" s="399"/>
      <c r="S48" s="392"/>
      <c r="T48" s="399"/>
      <c r="U48" s="399"/>
      <c r="V48" s="399"/>
      <c r="W48" s="399"/>
      <c r="X48" s="399"/>
      <c r="Y48" s="399"/>
      <c r="Z48" s="461"/>
      <c r="AA48" s="461"/>
      <c r="AB48" s="461"/>
      <c r="AC48" s="80"/>
      <c r="AE48" s="29"/>
      <c r="AF48" s="30"/>
      <c r="AG48" s="30"/>
      <c r="AH48" s="30"/>
      <c r="AI48" s="30"/>
    </row>
    <row r="49" spans="2:35" ht="12" customHeight="1" thickBot="1" x14ac:dyDescent="0.3">
      <c r="B49" s="29" t="s">
        <v>570</v>
      </c>
      <c r="C49" s="92" t="s">
        <v>1633</v>
      </c>
      <c r="D49" s="207" t="s">
        <v>1106</v>
      </c>
      <c r="E49" s="48" t="s">
        <v>573</v>
      </c>
      <c r="F49" s="47">
        <v>4.7</v>
      </c>
      <c r="G49" s="224">
        <v>234</v>
      </c>
      <c r="H49" s="224">
        <f>ROUNDUP(Tabela1345[[#This Row],[PRICE]]*(1+PRICES!$C$4),0)</f>
        <v>281</v>
      </c>
      <c r="I49" s="175">
        <v>0.15</v>
      </c>
      <c r="J49" s="49">
        <f>Tabela1345[[#This Row],[PRICE]]*Tabela1345[[#This Row],[DISCOUNT per piece '[%']]]</f>
        <v>35.1</v>
      </c>
      <c r="K49" s="49">
        <f>Tabela1345[[#This Row],[PRICE]]*(1-Tabela1345[[#This Row],[DISCOUNT per piece '[%']]])</f>
        <v>198.9</v>
      </c>
      <c r="L49" s="178">
        <f>Tabela1345[[#This Row],[PCS]]*Tabela1345[[#This Row],[PROMOTIONAL PRICE]]</f>
        <v>0</v>
      </c>
      <c r="M49" s="497" cm="1">
        <f t="array" ref="M49">ROUNDUP(Tabela1345[[#This Row],[NEW PRICE]]*eurofxref_daily[],2)</f>
        <v>452.08</v>
      </c>
      <c r="N49" s="502">
        <f>Tabela1345[[#This Row],[CAD PRICE]]*O49</f>
        <v>0</v>
      </c>
      <c r="O49" s="62">
        <f>SUM(Tabela1345[[#This Row],[RAL 1023]:[Custom made colour (7% add price)]])</f>
        <v>0</v>
      </c>
      <c r="P49" s="62">
        <f>Tabela1345[[#This Row],[Weight (kg)]]*Tabela1345[[#This Row],[PCS]]</f>
        <v>0</v>
      </c>
      <c r="Q49" s="393"/>
      <c r="R49" s="482"/>
      <c r="S49" s="486"/>
      <c r="T49" s="466"/>
      <c r="U49" s="435"/>
      <c r="V49" s="467"/>
      <c r="W49" s="468"/>
      <c r="X49" s="436"/>
      <c r="Y49" s="470"/>
      <c r="Z49" s="469"/>
      <c r="AA49" s="449"/>
      <c r="AB49" s="449"/>
      <c r="AC49" s="403"/>
      <c r="AE49" s="29"/>
      <c r="AF49" s="30"/>
      <c r="AG49" s="30"/>
      <c r="AH49" s="30"/>
      <c r="AI49" s="30"/>
    </row>
    <row r="50" spans="2:35" ht="12" customHeight="1" thickBot="1" x14ac:dyDescent="0.3">
      <c r="B50" s="29" t="s">
        <v>571</v>
      </c>
      <c r="C50" s="92" t="s">
        <v>1634</v>
      </c>
      <c r="D50" s="207" t="s">
        <v>1107</v>
      </c>
      <c r="E50" s="48" t="s">
        <v>573</v>
      </c>
      <c r="F50" s="47">
        <v>5</v>
      </c>
      <c r="G50" s="224">
        <v>234</v>
      </c>
      <c r="H50" s="224">
        <f>ROUNDUP(Tabela1345[[#This Row],[PRICE]]*(1+PRICES!$C$4),0)</f>
        <v>281</v>
      </c>
      <c r="I50" s="175">
        <v>0.15</v>
      </c>
      <c r="J50" s="49">
        <f>Tabela1345[[#This Row],[PRICE]]*Tabela1345[[#This Row],[DISCOUNT per piece '[%']]]</f>
        <v>35.1</v>
      </c>
      <c r="K50" s="49">
        <f>Tabela1345[[#This Row],[PRICE]]*(1-Tabela1345[[#This Row],[DISCOUNT per piece '[%']]])</f>
        <v>198.9</v>
      </c>
      <c r="L50" s="178">
        <f>Tabela1345[[#This Row],[PCS]]*Tabela1345[[#This Row],[PROMOTIONAL PRICE]]</f>
        <v>0</v>
      </c>
      <c r="M50" s="497" cm="1">
        <f t="array" ref="M50">ROUNDUP(Tabela1345[[#This Row],[NEW PRICE]]*eurofxref_daily[],2)</f>
        <v>452.08</v>
      </c>
      <c r="N50" s="502">
        <f>Tabela1345[[#This Row],[CAD PRICE]]*O50</f>
        <v>0</v>
      </c>
      <c r="O50" s="62">
        <f>SUM(Tabela1345[[#This Row],[RAL 1023]:[Custom made colour (7% add price)]])</f>
        <v>0</v>
      </c>
      <c r="P50" s="62">
        <f>Tabela1345[[#This Row],[Weight (kg)]]*Tabela1345[[#This Row],[PCS]]</f>
        <v>0</v>
      </c>
      <c r="Q50" s="393"/>
      <c r="R50" s="482"/>
      <c r="S50" s="486"/>
      <c r="T50" s="466"/>
      <c r="U50" s="435"/>
      <c r="V50" s="467"/>
      <c r="W50" s="468"/>
      <c r="X50" s="436"/>
      <c r="Y50" s="470"/>
      <c r="Z50" s="469"/>
      <c r="AA50" s="449"/>
      <c r="AB50" s="449"/>
      <c r="AC50" s="403"/>
      <c r="AE50" s="29"/>
      <c r="AF50" s="30"/>
      <c r="AG50" s="30"/>
      <c r="AH50" s="30"/>
      <c r="AI50" s="30"/>
    </row>
    <row r="51" spans="2:35" ht="12" customHeight="1" thickBot="1" x14ac:dyDescent="0.3">
      <c r="B51" s="29" t="s">
        <v>572</v>
      </c>
      <c r="C51" s="92" t="s">
        <v>1635</v>
      </c>
      <c r="D51" s="207" t="s">
        <v>1108</v>
      </c>
      <c r="E51" s="48" t="s">
        <v>574</v>
      </c>
      <c r="F51" s="47">
        <v>4.7</v>
      </c>
      <c r="G51" s="224">
        <v>234</v>
      </c>
      <c r="H51" s="224">
        <f>ROUNDUP(Tabela1345[[#This Row],[PRICE]]*(1+PRICES!$C$4),0)</f>
        <v>281</v>
      </c>
      <c r="I51" s="175">
        <v>0.15</v>
      </c>
      <c r="J51" s="49">
        <f>Tabela1345[[#This Row],[PRICE]]*Tabela1345[[#This Row],[DISCOUNT per piece '[%']]]</f>
        <v>35.1</v>
      </c>
      <c r="K51" s="49">
        <f>Tabela1345[[#This Row],[PRICE]]*(1-Tabela1345[[#This Row],[DISCOUNT per piece '[%']]])</f>
        <v>198.9</v>
      </c>
      <c r="L51" s="178">
        <f>Tabela1345[[#This Row],[PCS]]*Tabela1345[[#This Row],[PROMOTIONAL PRICE]]</f>
        <v>0</v>
      </c>
      <c r="M51" s="497" cm="1">
        <f t="array" ref="M51">ROUNDUP(Tabela1345[[#This Row],[NEW PRICE]]*eurofxref_daily[],2)</f>
        <v>452.08</v>
      </c>
      <c r="N51" s="502">
        <f>Tabela1345[[#This Row],[CAD PRICE]]*O51</f>
        <v>0</v>
      </c>
      <c r="O51" s="62">
        <f>SUM(Tabela1345[[#This Row],[RAL 1023]:[Custom made colour (7% add price)]])</f>
        <v>0</v>
      </c>
      <c r="P51" s="62">
        <f>Tabela1345[[#This Row],[Weight (kg)]]*Tabela1345[[#This Row],[PCS]]</f>
        <v>0</v>
      </c>
      <c r="Q51" s="393"/>
      <c r="R51" s="482"/>
      <c r="S51" s="486"/>
      <c r="T51" s="466"/>
      <c r="U51" s="435"/>
      <c r="V51" s="467"/>
      <c r="W51" s="468"/>
      <c r="X51" s="436"/>
      <c r="Y51" s="470"/>
      <c r="Z51" s="469"/>
      <c r="AA51" s="449"/>
      <c r="AB51" s="449"/>
      <c r="AC51" s="403"/>
      <c r="AE51" s="29"/>
      <c r="AF51" s="30"/>
      <c r="AG51" s="30"/>
      <c r="AH51" s="30"/>
      <c r="AI51" s="30"/>
    </row>
    <row r="52" spans="2:35" ht="12" customHeight="1" thickBot="1" x14ac:dyDescent="0.3">
      <c r="B52" s="122" t="s">
        <v>494</v>
      </c>
      <c r="C52" s="139" t="s">
        <v>1545</v>
      </c>
      <c r="D52" s="126"/>
      <c r="E52" s="124"/>
      <c r="F52" s="124"/>
      <c r="G52" s="358"/>
      <c r="H52" s="348"/>
      <c r="I52" s="124"/>
      <c r="J52" s="124"/>
      <c r="K52" s="124"/>
      <c r="L52" s="215"/>
      <c r="M52" s="124"/>
      <c r="N52" s="124"/>
      <c r="O52" s="124"/>
      <c r="P52" s="140"/>
      <c r="Q52" s="392"/>
      <c r="R52" s="399"/>
      <c r="S52" s="392"/>
      <c r="T52" s="399"/>
      <c r="U52" s="399"/>
      <c r="V52" s="399"/>
      <c r="W52" s="399"/>
      <c r="X52" s="399"/>
      <c r="Y52" s="399"/>
      <c r="Z52" s="461"/>
      <c r="AA52" s="461"/>
      <c r="AB52" s="461"/>
      <c r="AC52" s="80"/>
      <c r="AE52" s="29"/>
      <c r="AF52" s="30"/>
      <c r="AG52" s="30"/>
      <c r="AH52" s="30"/>
      <c r="AI52" s="30"/>
    </row>
    <row r="53" spans="2:35" ht="12" customHeight="1" thickBot="1" x14ac:dyDescent="0.3">
      <c r="B53" s="45" t="s">
        <v>495</v>
      </c>
      <c r="C53" s="92" t="s">
        <v>1546</v>
      </c>
      <c r="D53" s="207" t="s">
        <v>1109</v>
      </c>
      <c r="E53" s="78" t="s">
        <v>507</v>
      </c>
      <c r="F53" s="77">
        <v>3.6</v>
      </c>
      <c r="G53" s="224">
        <v>228</v>
      </c>
      <c r="H53" s="224">
        <f>ROUNDUP(Tabela1345[[#This Row],[PRICE]]*(1+PRICES!$C$4),0)</f>
        <v>274</v>
      </c>
      <c r="I53" s="175">
        <v>0.15</v>
      </c>
      <c r="J53" s="79">
        <f>Tabela1345[[#This Row],[PRICE]]*Tabela1345[[#This Row],[DISCOUNT per piece '[%']]]</f>
        <v>34.199999999999996</v>
      </c>
      <c r="K53" s="79">
        <f>Tabela1345[[#This Row],[PRICE]]*(1-Tabela1345[[#This Row],[DISCOUNT per piece '[%']]])</f>
        <v>193.79999999999998</v>
      </c>
      <c r="L53" s="176">
        <f>Tabela1345[[#This Row],[PCS]]*Tabela1345[[#This Row],[PROMOTIONAL PRICE]]</f>
        <v>0</v>
      </c>
      <c r="M53" s="497" cm="1">
        <f t="array" ref="M53">ROUNDUP(Tabela1345[[#This Row],[NEW PRICE]]*eurofxref_daily[],2)</f>
        <v>440.82</v>
      </c>
      <c r="N53" s="502">
        <f>Tabela1345[[#This Row],[CAD PRICE]]*O53</f>
        <v>0</v>
      </c>
      <c r="O53" s="62">
        <f>SUM(Tabela1345[[#This Row],[RAL 1023]:[Custom made colour (7% add price)]])</f>
        <v>0</v>
      </c>
      <c r="P53" s="62">
        <f>Tabela1345[[#This Row],[Weight (kg)]]*Tabela1345[[#This Row],[PCS]]</f>
        <v>0</v>
      </c>
      <c r="Q53" s="393"/>
      <c r="R53" s="482"/>
      <c r="S53" s="486"/>
      <c r="T53" s="466"/>
      <c r="U53" s="435"/>
      <c r="V53" s="467"/>
      <c r="W53" s="468"/>
      <c r="X53" s="436"/>
      <c r="Y53" s="470"/>
      <c r="Z53" s="469"/>
      <c r="AA53" s="449"/>
      <c r="AB53" s="449"/>
      <c r="AC53" s="403"/>
      <c r="AE53" s="29"/>
      <c r="AF53" s="30"/>
      <c r="AG53" s="30"/>
      <c r="AH53" s="30"/>
      <c r="AI53" s="30"/>
    </row>
    <row r="54" spans="2:35" ht="12" customHeight="1" thickBot="1" x14ac:dyDescent="0.3">
      <c r="B54" s="29" t="s">
        <v>496</v>
      </c>
      <c r="C54" s="92" t="s">
        <v>1547</v>
      </c>
      <c r="D54" s="207" t="s">
        <v>1110</v>
      </c>
      <c r="E54" s="48" t="s">
        <v>508</v>
      </c>
      <c r="F54" s="47">
        <v>3.2</v>
      </c>
      <c r="G54" s="224">
        <v>228</v>
      </c>
      <c r="H54" s="224">
        <f>ROUNDUP(Tabela1345[[#This Row],[PRICE]]*(1+PRICES!$C$4),0)</f>
        <v>274</v>
      </c>
      <c r="I54" s="175">
        <v>0.15</v>
      </c>
      <c r="J54" s="49">
        <f>Tabela1345[[#This Row],[PRICE]]*Tabela1345[[#This Row],[DISCOUNT per piece '[%']]]</f>
        <v>34.199999999999996</v>
      </c>
      <c r="K54" s="49">
        <f>Tabela1345[[#This Row],[PRICE]]*(1-Tabela1345[[#This Row],[DISCOUNT per piece '[%']]])</f>
        <v>193.79999999999998</v>
      </c>
      <c r="L54" s="178">
        <f>Tabela1345[[#This Row],[PCS]]*Tabela1345[[#This Row],[PROMOTIONAL PRICE]]</f>
        <v>0</v>
      </c>
      <c r="M54" s="497" cm="1">
        <f t="array" ref="M54">ROUNDUP(Tabela1345[[#This Row],[NEW PRICE]]*eurofxref_daily[],2)</f>
        <v>440.82</v>
      </c>
      <c r="N54" s="502">
        <f>Tabela1345[[#This Row],[CAD PRICE]]*O54</f>
        <v>0</v>
      </c>
      <c r="O54" s="62">
        <f>SUM(Tabela1345[[#This Row],[RAL 1023]:[Custom made colour (7% add price)]])</f>
        <v>0</v>
      </c>
      <c r="P54" s="62">
        <f>Tabela1345[[#This Row],[Weight (kg)]]*Tabela1345[[#This Row],[PCS]]</f>
        <v>0</v>
      </c>
      <c r="Q54" s="393"/>
      <c r="R54" s="482"/>
      <c r="S54" s="486"/>
      <c r="T54" s="466"/>
      <c r="U54" s="435"/>
      <c r="V54" s="467"/>
      <c r="W54" s="468"/>
      <c r="X54" s="436"/>
      <c r="Y54" s="470"/>
      <c r="Z54" s="469"/>
      <c r="AA54" s="449"/>
      <c r="AB54" s="449"/>
      <c r="AC54" s="403"/>
      <c r="AE54" s="29"/>
      <c r="AF54" s="30"/>
      <c r="AG54" s="30"/>
      <c r="AH54" s="30"/>
      <c r="AI54" s="30"/>
    </row>
    <row r="55" spans="2:35" ht="12" customHeight="1" thickBot="1" x14ac:dyDescent="0.3">
      <c r="B55" s="45" t="s">
        <v>497</v>
      </c>
      <c r="C55" s="92" t="s">
        <v>1548</v>
      </c>
      <c r="D55" s="207" t="s">
        <v>1111</v>
      </c>
      <c r="E55" s="78" t="s">
        <v>509</v>
      </c>
      <c r="F55" s="77">
        <v>3.7</v>
      </c>
      <c r="G55" s="224">
        <v>228</v>
      </c>
      <c r="H55" s="224">
        <f>ROUNDUP(Tabela1345[[#This Row],[PRICE]]*(1+PRICES!$C$4),0)</f>
        <v>274</v>
      </c>
      <c r="I55" s="175">
        <v>0.15</v>
      </c>
      <c r="J55" s="79">
        <f>Tabela1345[[#This Row],[PRICE]]*Tabela1345[[#This Row],[DISCOUNT per piece '[%']]]</f>
        <v>34.199999999999996</v>
      </c>
      <c r="K55" s="79">
        <f>Tabela1345[[#This Row],[PRICE]]*(1-Tabela1345[[#This Row],[DISCOUNT per piece '[%']]])</f>
        <v>193.79999999999998</v>
      </c>
      <c r="L55" s="176">
        <f>Tabela1345[[#This Row],[PCS]]*Tabela1345[[#This Row],[PROMOTIONAL PRICE]]</f>
        <v>0</v>
      </c>
      <c r="M55" s="497" cm="1">
        <f t="array" ref="M55">ROUNDUP(Tabela1345[[#This Row],[NEW PRICE]]*eurofxref_daily[],2)</f>
        <v>440.82</v>
      </c>
      <c r="N55" s="502">
        <f>Tabela1345[[#This Row],[CAD PRICE]]*O55</f>
        <v>0</v>
      </c>
      <c r="O55" s="62">
        <f>SUM(Tabela1345[[#This Row],[RAL 1023]:[Custom made colour (7% add price)]])</f>
        <v>0</v>
      </c>
      <c r="P55" s="62">
        <f>Tabela1345[[#This Row],[Weight (kg)]]*Tabela1345[[#This Row],[PCS]]</f>
        <v>0</v>
      </c>
      <c r="Q55" s="393"/>
      <c r="R55" s="482"/>
      <c r="S55" s="486"/>
      <c r="T55" s="466"/>
      <c r="U55" s="435"/>
      <c r="V55" s="467"/>
      <c r="W55" s="468"/>
      <c r="X55" s="436"/>
      <c r="Y55" s="470"/>
      <c r="Z55" s="469"/>
      <c r="AA55" s="449"/>
      <c r="AB55" s="449"/>
      <c r="AC55" s="403"/>
      <c r="AE55" s="29"/>
      <c r="AF55" s="30"/>
      <c r="AG55" s="30"/>
      <c r="AH55" s="30"/>
      <c r="AI55" s="30"/>
    </row>
    <row r="56" spans="2:35" ht="12" customHeight="1" thickBot="1" x14ac:dyDescent="0.3">
      <c r="B56" s="29" t="s">
        <v>498</v>
      </c>
      <c r="C56" s="92" t="s">
        <v>1549</v>
      </c>
      <c r="D56" s="207" t="s">
        <v>1112</v>
      </c>
      <c r="E56" s="48" t="s">
        <v>510</v>
      </c>
      <c r="F56" s="47">
        <v>3</v>
      </c>
      <c r="G56" s="224">
        <v>244</v>
      </c>
      <c r="H56" s="224">
        <f>ROUNDUP(Tabela1345[[#This Row],[PRICE]]*(1+PRICES!$C$4),0)</f>
        <v>293</v>
      </c>
      <c r="I56" s="175">
        <v>0.15</v>
      </c>
      <c r="J56" s="49">
        <f>Tabela1345[[#This Row],[PRICE]]*Tabela1345[[#This Row],[DISCOUNT per piece '[%']]]</f>
        <v>36.6</v>
      </c>
      <c r="K56" s="49">
        <f>Tabela1345[[#This Row],[PRICE]]*(1-Tabela1345[[#This Row],[DISCOUNT per piece '[%']]])</f>
        <v>207.4</v>
      </c>
      <c r="L56" s="178">
        <f>Tabela1345[[#This Row],[PCS]]*Tabela1345[[#This Row],[PROMOTIONAL PRICE]]</f>
        <v>0</v>
      </c>
      <c r="M56" s="497" cm="1">
        <f t="array" ref="M56">ROUNDUP(Tabela1345[[#This Row],[NEW PRICE]]*eurofxref_daily[],2)</f>
        <v>471.38</v>
      </c>
      <c r="N56" s="502">
        <f>Tabela1345[[#This Row],[CAD PRICE]]*O56</f>
        <v>0</v>
      </c>
      <c r="O56" s="62">
        <f>SUM(Tabela1345[[#This Row],[RAL 1023]:[Custom made colour (7% add price)]])</f>
        <v>0</v>
      </c>
      <c r="P56" s="62">
        <f>Tabela1345[[#This Row],[Weight (kg)]]*Tabela1345[[#This Row],[PCS]]</f>
        <v>0</v>
      </c>
      <c r="Q56" s="393"/>
      <c r="R56" s="482"/>
      <c r="S56" s="486"/>
      <c r="T56" s="466"/>
      <c r="U56" s="435"/>
      <c r="V56" s="467"/>
      <c r="W56" s="468"/>
      <c r="X56" s="436"/>
      <c r="Y56" s="470"/>
      <c r="Z56" s="469"/>
      <c r="AA56" s="449"/>
      <c r="AB56" s="449"/>
      <c r="AC56" s="403"/>
      <c r="AE56" s="29"/>
      <c r="AF56" s="30"/>
      <c r="AG56" s="30"/>
      <c r="AH56" s="30"/>
      <c r="AI56" s="30"/>
    </row>
    <row r="57" spans="2:35" ht="12" customHeight="1" thickBot="1" x14ac:dyDescent="0.3">
      <c r="B57" s="45" t="s">
        <v>499</v>
      </c>
      <c r="C57" s="92" t="s">
        <v>1550</v>
      </c>
      <c r="D57" s="207" t="s">
        <v>1113</v>
      </c>
      <c r="E57" s="78" t="s">
        <v>511</v>
      </c>
      <c r="F57" s="77">
        <v>2.4</v>
      </c>
      <c r="G57" s="224">
        <v>202</v>
      </c>
      <c r="H57" s="224">
        <f>ROUNDUP(Tabela1345[[#This Row],[PRICE]]*(1+PRICES!$C$4),0)</f>
        <v>243</v>
      </c>
      <c r="I57" s="175">
        <v>0.15</v>
      </c>
      <c r="J57" s="79">
        <f>Tabela1345[[#This Row],[PRICE]]*Tabela1345[[#This Row],[DISCOUNT per piece '[%']]]</f>
        <v>30.299999999999997</v>
      </c>
      <c r="K57" s="79">
        <f>Tabela1345[[#This Row],[PRICE]]*(1-Tabela1345[[#This Row],[DISCOUNT per piece '[%']]])</f>
        <v>171.7</v>
      </c>
      <c r="L57" s="176">
        <f>Tabela1345[[#This Row],[PCS]]*Tabela1345[[#This Row],[PROMOTIONAL PRICE]]</f>
        <v>0</v>
      </c>
      <c r="M57" s="497" cm="1">
        <f t="array" ref="M57">ROUNDUP(Tabela1345[[#This Row],[NEW PRICE]]*eurofxref_daily[],2)</f>
        <v>390.94</v>
      </c>
      <c r="N57" s="502">
        <f>Tabela1345[[#This Row],[CAD PRICE]]*O57</f>
        <v>0</v>
      </c>
      <c r="O57" s="62">
        <f>SUM(Tabela1345[[#This Row],[RAL 1023]:[Custom made colour (7% add price)]])</f>
        <v>0</v>
      </c>
      <c r="P57" s="62">
        <f>Tabela1345[[#This Row],[Weight (kg)]]*Tabela1345[[#This Row],[PCS]]</f>
        <v>0</v>
      </c>
      <c r="Q57" s="393"/>
      <c r="R57" s="482"/>
      <c r="S57" s="486"/>
      <c r="T57" s="466"/>
      <c r="U57" s="435"/>
      <c r="V57" s="467"/>
      <c r="W57" s="468"/>
      <c r="X57" s="436"/>
      <c r="Y57" s="470"/>
      <c r="Z57" s="469"/>
      <c r="AA57" s="449"/>
      <c r="AB57" s="449"/>
      <c r="AC57" s="403"/>
      <c r="AE57" s="29"/>
      <c r="AF57" s="30"/>
      <c r="AG57" s="30"/>
      <c r="AH57" s="30"/>
      <c r="AI57" s="30"/>
    </row>
    <row r="58" spans="2:35" ht="12" customHeight="1" thickBot="1" x14ac:dyDescent="0.3">
      <c r="B58" s="29" t="s">
        <v>500</v>
      </c>
      <c r="C58" s="92" t="s">
        <v>1551</v>
      </c>
      <c r="D58" s="207" t="s">
        <v>1114</v>
      </c>
      <c r="E58" s="48" t="s">
        <v>512</v>
      </c>
      <c r="F58" s="47">
        <v>2.6</v>
      </c>
      <c r="G58" s="224">
        <v>207</v>
      </c>
      <c r="H58" s="224">
        <f>ROUNDUP(Tabela1345[[#This Row],[PRICE]]*(1+PRICES!$C$4),0)</f>
        <v>249</v>
      </c>
      <c r="I58" s="175">
        <v>0.15</v>
      </c>
      <c r="J58" s="49">
        <f>Tabela1345[[#This Row],[PRICE]]*Tabela1345[[#This Row],[DISCOUNT per piece '[%']]]</f>
        <v>31.049999999999997</v>
      </c>
      <c r="K58" s="49">
        <f>Tabela1345[[#This Row],[PRICE]]*(1-Tabela1345[[#This Row],[DISCOUNT per piece '[%']]])</f>
        <v>175.95</v>
      </c>
      <c r="L58" s="178">
        <f>Tabela1345[[#This Row],[PCS]]*Tabela1345[[#This Row],[PROMOTIONAL PRICE]]</f>
        <v>0</v>
      </c>
      <c r="M58" s="497" cm="1">
        <f t="array" ref="M58">ROUNDUP(Tabela1345[[#This Row],[NEW PRICE]]*eurofxref_daily[],2)</f>
        <v>400.59999999999997</v>
      </c>
      <c r="N58" s="502">
        <f>Tabela1345[[#This Row],[CAD PRICE]]*O58</f>
        <v>0</v>
      </c>
      <c r="O58" s="62">
        <f>SUM(Tabela1345[[#This Row],[RAL 1023]:[Custom made colour (7% add price)]])</f>
        <v>0</v>
      </c>
      <c r="P58" s="62">
        <f>Tabela1345[[#This Row],[Weight (kg)]]*Tabela1345[[#This Row],[PCS]]</f>
        <v>0</v>
      </c>
      <c r="Q58" s="393"/>
      <c r="R58" s="482"/>
      <c r="S58" s="486"/>
      <c r="T58" s="466"/>
      <c r="U58" s="435"/>
      <c r="V58" s="467"/>
      <c r="W58" s="468"/>
      <c r="X58" s="436"/>
      <c r="Y58" s="470"/>
      <c r="Z58" s="469"/>
      <c r="AA58" s="449"/>
      <c r="AB58" s="449"/>
      <c r="AC58" s="403"/>
      <c r="AE58" s="29"/>
      <c r="AF58" s="30"/>
      <c r="AG58" s="30"/>
      <c r="AH58" s="30"/>
      <c r="AI58" s="30"/>
    </row>
    <row r="59" spans="2:35" ht="12" customHeight="1" thickBot="1" x14ac:dyDescent="0.3">
      <c r="B59" s="45" t="s">
        <v>501</v>
      </c>
      <c r="C59" s="92" t="s">
        <v>1552</v>
      </c>
      <c r="D59" s="207" t="s">
        <v>1115</v>
      </c>
      <c r="E59" s="78" t="s">
        <v>513</v>
      </c>
      <c r="F59" s="77">
        <v>3</v>
      </c>
      <c r="G59" s="224">
        <v>223</v>
      </c>
      <c r="H59" s="224">
        <f>ROUNDUP(Tabela1345[[#This Row],[PRICE]]*(1+PRICES!$C$4),0)</f>
        <v>268</v>
      </c>
      <c r="I59" s="175">
        <v>0.15</v>
      </c>
      <c r="J59" s="79">
        <f>Tabela1345[[#This Row],[PRICE]]*Tabela1345[[#This Row],[DISCOUNT per piece '[%']]]</f>
        <v>33.449999999999996</v>
      </c>
      <c r="K59" s="79">
        <f>Tabela1345[[#This Row],[PRICE]]*(1-Tabela1345[[#This Row],[DISCOUNT per piece '[%']]])</f>
        <v>189.54999999999998</v>
      </c>
      <c r="L59" s="176">
        <f>Tabela1345[[#This Row],[PCS]]*Tabela1345[[#This Row],[PROMOTIONAL PRICE]]</f>
        <v>0</v>
      </c>
      <c r="M59" s="497" cm="1">
        <f t="array" ref="M59">ROUNDUP(Tabela1345[[#This Row],[NEW PRICE]]*eurofxref_daily[],2)</f>
        <v>431.15999999999997</v>
      </c>
      <c r="N59" s="502">
        <f>Tabela1345[[#This Row],[CAD PRICE]]*O59</f>
        <v>0</v>
      </c>
      <c r="O59" s="62">
        <f>SUM(Tabela1345[[#This Row],[RAL 1023]:[Custom made colour (7% add price)]])</f>
        <v>0</v>
      </c>
      <c r="P59" s="62">
        <f>Tabela1345[[#This Row],[Weight (kg)]]*Tabela1345[[#This Row],[PCS]]</f>
        <v>0</v>
      </c>
      <c r="Q59" s="393"/>
      <c r="R59" s="482"/>
      <c r="S59" s="486"/>
      <c r="T59" s="466"/>
      <c r="U59" s="435"/>
      <c r="V59" s="467"/>
      <c r="W59" s="468"/>
      <c r="X59" s="436"/>
      <c r="Y59" s="470"/>
      <c r="Z59" s="469"/>
      <c r="AA59" s="449"/>
      <c r="AB59" s="449"/>
      <c r="AC59" s="403"/>
      <c r="AE59" s="29"/>
      <c r="AF59" s="30"/>
      <c r="AG59" s="30"/>
      <c r="AH59" s="30"/>
      <c r="AI59" s="30"/>
    </row>
    <row r="60" spans="2:35" ht="12" customHeight="1" thickBot="1" x14ac:dyDescent="0.3">
      <c r="B60" s="29" t="s">
        <v>502</v>
      </c>
      <c r="C60" s="92" t="s">
        <v>1553</v>
      </c>
      <c r="D60" s="207" t="s">
        <v>1116</v>
      </c>
      <c r="E60" s="48" t="s">
        <v>514</v>
      </c>
      <c r="F60" s="47">
        <v>3.2</v>
      </c>
      <c r="G60" s="224">
        <v>244</v>
      </c>
      <c r="H60" s="224">
        <f>ROUNDUP(Tabela1345[[#This Row],[PRICE]]*(1+PRICES!$C$4),0)</f>
        <v>293</v>
      </c>
      <c r="I60" s="175">
        <v>0.15</v>
      </c>
      <c r="J60" s="49">
        <f>Tabela1345[[#This Row],[PRICE]]*Tabela1345[[#This Row],[DISCOUNT per piece '[%']]]</f>
        <v>36.6</v>
      </c>
      <c r="K60" s="49">
        <f>Tabela1345[[#This Row],[PRICE]]*(1-Tabela1345[[#This Row],[DISCOUNT per piece '[%']]])</f>
        <v>207.4</v>
      </c>
      <c r="L60" s="178">
        <f>Tabela1345[[#This Row],[PCS]]*Tabela1345[[#This Row],[PROMOTIONAL PRICE]]</f>
        <v>0</v>
      </c>
      <c r="M60" s="497" cm="1">
        <f t="array" ref="M60">ROUNDUP(Tabela1345[[#This Row],[NEW PRICE]]*eurofxref_daily[],2)</f>
        <v>471.38</v>
      </c>
      <c r="N60" s="502">
        <f>Tabela1345[[#This Row],[CAD PRICE]]*O60</f>
        <v>0</v>
      </c>
      <c r="O60" s="62">
        <f>SUM(Tabela1345[[#This Row],[RAL 1023]:[Custom made colour (7% add price)]])</f>
        <v>0</v>
      </c>
      <c r="P60" s="62">
        <f>Tabela1345[[#This Row],[Weight (kg)]]*Tabela1345[[#This Row],[PCS]]</f>
        <v>0</v>
      </c>
      <c r="Q60" s="393"/>
      <c r="R60" s="482"/>
      <c r="S60" s="486"/>
      <c r="T60" s="466"/>
      <c r="U60" s="435"/>
      <c r="V60" s="467"/>
      <c r="W60" s="468"/>
      <c r="X60" s="436"/>
      <c r="Y60" s="470"/>
      <c r="Z60" s="469"/>
      <c r="AA60" s="449"/>
      <c r="AB60" s="449"/>
      <c r="AC60" s="403"/>
      <c r="AE60" s="29"/>
      <c r="AF60" s="30"/>
      <c r="AG60" s="30"/>
      <c r="AH60" s="30"/>
      <c r="AI60" s="30"/>
    </row>
    <row r="61" spans="2:35" ht="12" customHeight="1" thickBot="1" x14ac:dyDescent="0.3">
      <c r="B61" s="45" t="s">
        <v>503</v>
      </c>
      <c r="C61" s="92" t="s">
        <v>1554</v>
      </c>
      <c r="D61" s="207" t="s">
        <v>1117</v>
      </c>
      <c r="E61" s="78" t="s">
        <v>515</v>
      </c>
      <c r="F61" s="77">
        <v>3.6</v>
      </c>
      <c r="G61" s="224">
        <v>244</v>
      </c>
      <c r="H61" s="224">
        <f>ROUNDUP(Tabela1345[[#This Row],[PRICE]]*(1+PRICES!$C$4),0)</f>
        <v>293</v>
      </c>
      <c r="I61" s="175">
        <v>0.15</v>
      </c>
      <c r="J61" s="79">
        <f>Tabela1345[[#This Row],[PRICE]]*Tabela1345[[#This Row],[DISCOUNT per piece '[%']]]</f>
        <v>36.6</v>
      </c>
      <c r="K61" s="79">
        <f>Tabela1345[[#This Row],[PRICE]]*(1-Tabela1345[[#This Row],[DISCOUNT per piece '[%']]])</f>
        <v>207.4</v>
      </c>
      <c r="L61" s="176">
        <f>Tabela1345[[#This Row],[PCS]]*Tabela1345[[#This Row],[PROMOTIONAL PRICE]]</f>
        <v>0</v>
      </c>
      <c r="M61" s="497" cm="1">
        <f t="array" ref="M61">ROUNDUP(Tabela1345[[#This Row],[NEW PRICE]]*eurofxref_daily[],2)</f>
        <v>471.38</v>
      </c>
      <c r="N61" s="502">
        <f>Tabela1345[[#This Row],[CAD PRICE]]*O61</f>
        <v>0</v>
      </c>
      <c r="O61" s="62">
        <f>SUM(Tabela1345[[#This Row],[RAL 1023]:[Custom made colour (7% add price)]])</f>
        <v>0</v>
      </c>
      <c r="P61" s="62">
        <f>Tabela1345[[#This Row],[Weight (kg)]]*Tabela1345[[#This Row],[PCS]]</f>
        <v>0</v>
      </c>
      <c r="Q61" s="393"/>
      <c r="R61" s="482"/>
      <c r="S61" s="486"/>
      <c r="T61" s="466"/>
      <c r="U61" s="435"/>
      <c r="V61" s="467"/>
      <c r="W61" s="468"/>
      <c r="X61" s="436"/>
      <c r="Y61" s="470"/>
      <c r="Z61" s="469"/>
      <c r="AA61" s="449"/>
      <c r="AB61" s="449"/>
      <c r="AC61" s="403"/>
      <c r="AE61" s="29"/>
      <c r="AF61" s="30"/>
      <c r="AG61" s="30"/>
      <c r="AH61" s="30"/>
      <c r="AI61" s="30"/>
    </row>
    <row r="62" spans="2:35" ht="12" customHeight="1" thickBot="1" x14ac:dyDescent="0.3">
      <c r="B62" s="29" t="s">
        <v>504</v>
      </c>
      <c r="C62" s="92" t="s">
        <v>1555</v>
      </c>
      <c r="D62" s="207" t="s">
        <v>1118</v>
      </c>
      <c r="E62" s="48" t="s">
        <v>516</v>
      </c>
      <c r="F62" s="47">
        <v>4</v>
      </c>
      <c r="G62" s="224">
        <v>244</v>
      </c>
      <c r="H62" s="224">
        <f>ROUNDUP(Tabela1345[[#This Row],[PRICE]]*(1+PRICES!$C$4),0)</f>
        <v>293</v>
      </c>
      <c r="I62" s="175">
        <v>0.15</v>
      </c>
      <c r="J62" s="49">
        <f>Tabela1345[[#This Row],[PRICE]]*Tabela1345[[#This Row],[DISCOUNT per piece '[%']]]</f>
        <v>36.6</v>
      </c>
      <c r="K62" s="49">
        <f>Tabela1345[[#This Row],[PRICE]]*(1-Tabela1345[[#This Row],[DISCOUNT per piece '[%']]])</f>
        <v>207.4</v>
      </c>
      <c r="L62" s="178">
        <f>Tabela1345[[#This Row],[PCS]]*Tabela1345[[#This Row],[PROMOTIONAL PRICE]]</f>
        <v>0</v>
      </c>
      <c r="M62" s="497" cm="1">
        <f t="array" ref="M62">ROUNDUP(Tabela1345[[#This Row],[NEW PRICE]]*eurofxref_daily[],2)</f>
        <v>471.38</v>
      </c>
      <c r="N62" s="502">
        <f>Tabela1345[[#This Row],[CAD PRICE]]*O62</f>
        <v>0</v>
      </c>
      <c r="O62" s="62">
        <f>SUM(Tabela1345[[#This Row],[RAL 1023]:[Custom made colour (7% add price)]])</f>
        <v>0</v>
      </c>
      <c r="P62" s="62">
        <f>Tabela1345[[#This Row],[Weight (kg)]]*Tabela1345[[#This Row],[PCS]]</f>
        <v>0</v>
      </c>
      <c r="Q62" s="393"/>
      <c r="R62" s="482"/>
      <c r="S62" s="486"/>
      <c r="T62" s="466"/>
      <c r="U62" s="435"/>
      <c r="V62" s="467"/>
      <c r="W62" s="468"/>
      <c r="X62" s="436"/>
      <c r="Y62" s="470"/>
      <c r="Z62" s="469"/>
      <c r="AA62" s="449"/>
      <c r="AB62" s="449"/>
      <c r="AC62" s="403"/>
      <c r="AE62" s="29"/>
      <c r="AF62" s="30"/>
      <c r="AG62" s="30"/>
      <c r="AH62" s="30"/>
      <c r="AI62" s="30"/>
    </row>
    <row r="63" spans="2:35" ht="12" customHeight="1" thickBot="1" x14ac:dyDescent="0.3">
      <c r="B63" s="45" t="s">
        <v>505</v>
      </c>
      <c r="C63" s="92" t="s">
        <v>1556</v>
      </c>
      <c r="D63" s="207" t="s">
        <v>1120</v>
      </c>
      <c r="E63" s="78" t="s">
        <v>517</v>
      </c>
      <c r="F63" s="77">
        <v>2.6</v>
      </c>
      <c r="G63" s="224">
        <v>202</v>
      </c>
      <c r="H63" s="224">
        <f>ROUNDUP(Tabela1345[[#This Row],[PRICE]]*(1+PRICES!$C$4),0)</f>
        <v>243</v>
      </c>
      <c r="I63" s="175">
        <v>0.15</v>
      </c>
      <c r="J63" s="79">
        <f>Tabela1345[[#This Row],[PRICE]]*Tabela1345[[#This Row],[DISCOUNT per piece '[%']]]</f>
        <v>30.299999999999997</v>
      </c>
      <c r="K63" s="79">
        <f>Tabela1345[[#This Row],[PRICE]]*(1-Tabela1345[[#This Row],[DISCOUNT per piece '[%']]])</f>
        <v>171.7</v>
      </c>
      <c r="L63" s="176">
        <f>Tabela1345[[#This Row],[PCS]]*Tabela1345[[#This Row],[PROMOTIONAL PRICE]]</f>
        <v>0</v>
      </c>
      <c r="M63" s="497" cm="1">
        <f t="array" ref="M63">ROUNDUP(Tabela1345[[#This Row],[NEW PRICE]]*eurofxref_daily[],2)</f>
        <v>390.94</v>
      </c>
      <c r="N63" s="502">
        <f>Tabela1345[[#This Row],[CAD PRICE]]*O63</f>
        <v>0</v>
      </c>
      <c r="O63" s="62">
        <f>SUM(Tabela1345[[#This Row],[RAL 1023]:[Custom made colour (7% add price)]])</f>
        <v>0</v>
      </c>
      <c r="P63" s="62">
        <f>Tabela1345[[#This Row],[Weight (kg)]]*Tabela1345[[#This Row],[PCS]]</f>
        <v>0</v>
      </c>
      <c r="Q63" s="393"/>
      <c r="R63" s="482"/>
      <c r="S63" s="486"/>
      <c r="T63" s="466"/>
      <c r="U63" s="435"/>
      <c r="V63" s="467"/>
      <c r="W63" s="468"/>
      <c r="X63" s="436"/>
      <c r="Y63" s="470"/>
      <c r="Z63" s="469"/>
      <c r="AA63" s="449"/>
      <c r="AB63" s="449"/>
      <c r="AC63" s="403"/>
      <c r="AE63" s="29"/>
      <c r="AF63" s="30"/>
      <c r="AG63" s="30"/>
      <c r="AH63" s="30"/>
      <c r="AI63" s="30"/>
    </row>
    <row r="64" spans="2:35" ht="12" customHeight="1" thickBot="1" x14ac:dyDescent="0.3">
      <c r="B64" s="29" t="s">
        <v>506</v>
      </c>
      <c r="C64" s="92" t="s">
        <v>1557</v>
      </c>
      <c r="D64" s="207" t="s">
        <v>1119</v>
      </c>
      <c r="E64" s="48" t="s">
        <v>518</v>
      </c>
      <c r="F64" s="47">
        <v>2.5</v>
      </c>
      <c r="G64" s="224">
        <v>202</v>
      </c>
      <c r="H64" s="224">
        <f>ROUNDUP(Tabela1345[[#This Row],[PRICE]]*(1+PRICES!$C$4),0)</f>
        <v>243</v>
      </c>
      <c r="I64" s="175">
        <v>0.15</v>
      </c>
      <c r="J64" s="49">
        <f>Tabela1345[[#This Row],[PRICE]]*Tabela1345[[#This Row],[DISCOUNT per piece '[%']]]</f>
        <v>30.299999999999997</v>
      </c>
      <c r="K64" s="49">
        <f>Tabela1345[[#This Row],[PRICE]]*(1-Tabela1345[[#This Row],[DISCOUNT per piece '[%']]])</f>
        <v>171.7</v>
      </c>
      <c r="L64" s="178">
        <f>Tabela1345[[#This Row],[PCS]]*Tabela1345[[#This Row],[PROMOTIONAL PRICE]]</f>
        <v>0</v>
      </c>
      <c r="M64" s="497" cm="1">
        <f t="array" ref="M64">ROUNDUP(Tabela1345[[#This Row],[NEW PRICE]]*eurofxref_daily[],2)</f>
        <v>390.94</v>
      </c>
      <c r="N64" s="502">
        <f>Tabela1345[[#This Row],[CAD PRICE]]*O64</f>
        <v>0</v>
      </c>
      <c r="O64" s="62">
        <f>SUM(Tabela1345[[#This Row],[RAL 1023]:[Custom made colour (7% add price)]])</f>
        <v>0</v>
      </c>
      <c r="P64" s="62">
        <f>Tabela1345[[#This Row],[Weight (kg)]]*Tabela1345[[#This Row],[PCS]]</f>
        <v>0</v>
      </c>
      <c r="Q64" s="393"/>
      <c r="R64" s="482"/>
      <c r="S64" s="486"/>
      <c r="T64" s="466"/>
      <c r="U64" s="435"/>
      <c r="V64" s="467"/>
      <c r="W64" s="468"/>
      <c r="X64" s="436"/>
      <c r="Y64" s="470"/>
      <c r="Z64" s="469"/>
      <c r="AA64" s="449"/>
      <c r="AB64" s="449"/>
      <c r="AC64" s="403"/>
      <c r="AE64" s="29"/>
      <c r="AF64" s="30"/>
      <c r="AG64" s="30"/>
      <c r="AH64" s="30"/>
      <c r="AI64" s="30"/>
    </row>
    <row r="65" spans="2:35" ht="12" customHeight="1" thickBot="1" x14ac:dyDescent="0.3">
      <c r="B65" s="122" t="s">
        <v>519</v>
      </c>
      <c r="C65" s="139" t="s">
        <v>1558</v>
      </c>
      <c r="D65" s="126"/>
      <c r="E65" s="124"/>
      <c r="F65" s="124"/>
      <c r="G65" s="358"/>
      <c r="H65" s="124"/>
      <c r="I65" s="124"/>
      <c r="J65" s="124"/>
      <c r="K65" s="124"/>
      <c r="L65" s="215"/>
      <c r="M65" s="124"/>
      <c r="N65" s="124"/>
      <c r="O65" s="124"/>
      <c r="P65" s="140"/>
      <c r="Q65" s="392"/>
      <c r="R65" s="399"/>
      <c r="S65" s="392"/>
      <c r="T65" s="399"/>
      <c r="U65" s="399"/>
      <c r="V65" s="399"/>
      <c r="W65" s="399"/>
      <c r="X65" s="399"/>
      <c r="Y65" s="399"/>
      <c r="Z65" s="461"/>
      <c r="AA65" s="461"/>
      <c r="AB65" s="461"/>
      <c r="AC65" s="80"/>
      <c r="AE65" s="29"/>
      <c r="AF65" s="30"/>
      <c r="AG65" s="30"/>
      <c r="AH65" s="30"/>
      <c r="AI65" s="30"/>
    </row>
    <row r="66" spans="2:35" ht="12" customHeight="1" thickBot="1" x14ac:dyDescent="0.3">
      <c r="B66" s="45" t="s">
        <v>521</v>
      </c>
      <c r="C66" s="92" t="s">
        <v>1559</v>
      </c>
      <c r="D66" s="204" t="s">
        <v>1121</v>
      </c>
      <c r="E66" s="77" t="s">
        <v>540</v>
      </c>
      <c r="F66" s="47">
        <v>3.7</v>
      </c>
      <c r="G66" s="224">
        <v>140</v>
      </c>
      <c r="H66" s="224">
        <f>ROUNDUP(Tabela1345[[#This Row],[PRICE]]*(1+PRICES!$C$4),0)</f>
        <v>168</v>
      </c>
      <c r="I66" s="175">
        <v>0.15</v>
      </c>
      <c r="J66" s="79">
        <f>Tabela1345[[#This Row],[PRICE]]*Tabela1345[[#This Row],[DISCOUNT per piece '[%']]]</f>
        <v>21</v>
      </c>
      <c r="K66" s="79">
        <f>Tabela1345[[#This Row],[PRICE]]*(1-Tabela1345[[#This Row],[DISCOUNT per piece '[%']]])</f>
        <v>119</v>
      </c>
      <c r="L66" s="176">
        <f>Tabela1345[[#This Row],[PCS]]*Tabela1345[[#This Row],[PROMOTIONAL PRICE]]</f>
        <v>0</v>
      </c>
      <c r="M66" s="497" cm="1">
        <f t="array" ref="M66">ROUNDUP(Tabela1345[[#This Row],[NEW PRICE]]*eurofxref_daily[],2)</f>
        <v>270.27999999999997</v>
      </c>
      <c r="N66" s="502">
        <f>Tabela1345[[#This Row],[CAD PRICE]]*O66</f>
        <v>0</v>
      </c>
      <c r="O66" s="62">
        <f>SUM(Tabela1345[[#This Row],[RAL 1023]:[Custom made colour (7% add price)]])</f>
        <v>0</v>
      </c>
      <c r="P66" s="62">
        <f>Tabela1345[[#This Row],[Weight (kg)]]*Tabela1345[[#This Row],[PCS]]</f>
        <v>0</v>
      </c>
      <c r="Q66" s="393"/>
      <c r="R66" s="482"/>
      <c r="S66" s="486"/>
      <c r="T66" s="466"/>
      <c r="U66" s="435"/>
      <c r="V66" s="467"/>
      <c r="W66" s="468"/>
      <c r="X66" s="436"/>
      <c r="Y66" s="470"/>
      <c r="Z66" s="469"/>
      <c r="AA66" s="449"/>
      <c r="AB66" s="449"/>
      <c r="AC66" s="403"/>
      <c r="AE66" s="29"/>
      <c r="AF66" s="30"/>
      <c r="AG66" s="30"/>
      <c r="AH66" s="30"/>
      <c r="AI66" s="30"/>
    </row>
    <row r="67" spans="2:35" ht="12" customHeight="1" thickBot="1" x14ac:dyDescent="0.3">
      <c r="B67" s="45" t="s">
        <v>523</v>
      </c>
      <c r="C67" s="92" t="s">
        <v>1560</v>
      </c>
      <c r="D67" s="204" t="s">
        <v>1122</v>
      </c>
      <c r="E67" s="77" t="s">
        <v>541</v>
      </c>
      <c r="F67" s="47">
        <v>3.8</v>
      </c>
      <c r="G67" s="224">
        <v>140</v>
      </c>
      <c r="H67" s="224">
        <f>ROUNDUP(Tabela1345[[#This Row],[PRICE]]*(1+PRICES!$C$4),0)</f>
        <v>168</v>
      </c>
      <c r="I67" s="175">
        <v>0.15</v>
      </c>
      <c r="J67" s="79">
        <f>Tabela1345[[#This Row],[PRICE]]*Tabela1345[[#This Row],[DISCOUNT per piece '[%']]]</f>
        <v>21</v>
      </c>
      <c r="K67" s="79">
        <f>Tabela1345[[#This Row],[PRICE]]*(1-Tabela1345[[#This Row],[DISCOUNT per piece '[%']]])</f>
        <v>119</v>
      </c>
      <c r="L67" s="176">
        <f>Tabela1345[[#This Row],[PCS]]*Tabela1345[[#This Row],[PROMOTIONAL PRICE]]</f>
        <v>0</v>
      </c>
      <c r="M67" s="497" cm="1">
        <f t="array" ref="M67">ROUNDUP(Tabela1345[[#This Row],[NEW PRICE]]*eurofxref_daily[],2)</f>
        <v>270.27999999999997</v>
      </c>
      <c r="N67" s="502">
        <f>Tabela1345[[#This Row],[CAD PRICE]]*O67</f>
        <v>0</v>
      </c>
      <c r="O67" s="62">
        <f>SUM(Tabela1345[[#This Row],[RAL 1023]:[Custom made colour (7% add price)]])</f>
        <v>0</v>
      </c>
      <c r="P67" s="62">
        <f>Tabela1345[[#This Row],[Weight (kg)]]*Tabela1345[[#This Row],[PCS]]</f>
        <v>0</v>
      </c>
      <c r="Q67" s="393"/>
      <c r="R67" s="482"/>
      <c r="S67" s="486"/>
      <c r="T67" s="466"/>
      <c r="U67" s="435"/>
      <c r="V67" s="467"/>
      <c r="W67" s="468"/>
      <c r="X67" s="436"/>
      <c r="Y67" s="470"/>
      <c r="Z67" s="469"/>
      <c r="AA67" s="449"/>
      <c r="AB67" s="449"/>
      <c r="AC67" s="403"/>
      <c r="AE67" s="29"/>
      <c r="AF67" s="30"/>
      <c r="AG67" s="30"/>
      <c r="AH67" s="30"/>
      <c r="AI67" s="30"/>
    </row>
    <row r="68" spans="2:35" ht="12" customHeight="1" thickBot="1" x14ac:dyDescent="0.3">
      <c r="B68" s="45" t="s">
        <v>525</v>
      </c>
      <c r="C68" s="92" t="s">
        <v>1561</v>
      </c>
      <c r="D68" s="204" t="s">
        <v>1123</v>
      </c>
      <c r="E68" s="77" t="s">
        <v>542</v>
      </c>
      <c r="F68" s="47">
        <v>3.9</v>
      </c>
      <c r="G68" s="224">
        <v>147</v>
      </c>
      <c r="H68" s="224">
        <f>ROUNDUP(Tabela1345[[#This Row],[PRICE]]*(1+PRICES!$C$4),0)</f>
        <v>177</v>
      </c>
      <c r="I68" s="175">
        <v>0.15</v>
      </c>
      <c r="J68" s="79">
        <f>Tabela1345[[#This Row],[PRICE]]*Tabela1345[[#This Row],[DISCOUNT per piece '[%']]]</f>
        <v>22.05</v>
      </c>
      <c r="K68" s="79">
        <f>Tabela1345[[#This Row],[PRICE]]*(1-Tabela1345[[#This Row],[DISCOUNT per piece '[%']]])</f>
        <v>124.95</v>
      </c>
      <c r="L68" s="176">
        <f>Tabela1345[[#This Row],[PCS]]*Tabela1345[[#This Row],[PROMOTIONAL PRICE]]</f>
        <v>0</v>
      </c>
      <c r="M68" s="497" cm="1">
        <f t="array" ref="M68">ROUNDUP(Tabela1345[[#This Row],[NEW PRICE]]*eurofxref_daily[],2)</f>
        <v>284.76</v>
      </c>
      <c r="N68" s="502">
        <f>Tabela1345[[#This Row],[CAD PRICE]]*O68</f>
        <v>0</v>
      </c>
      <c r="O68" s="62">
        <f>SUM(Tabela1345[[#This Row],[RAL 1023]:[Custom made colour (7% add price)]])</f>
        <v>0</v>
      </c>
      <c r="P68" s="62">
        <f>Tabela1345[[#This Row],[Weight (kg)]]*Tabela1345[[#This Row],[PCS]]</f>
        <v>0</v>
      </c>
      <c r="Q68" s="393"/>
      <c r="R68" s="482"/>
      <c r="S68" s="486"/>
      <c r="T68" s="466"/>
      <c r="U68" s="435"/>
      <c r="V68" s="467"/>
      <c r="W68" s="468"/>
      <c r="X68" s="436"/>
      <c r="Y68" s="470"/>
      <c r="Z68" s="469"/>
      <c r="AA68" s="449"/>
      <c r="AB68" s="449"/>
      <c r="AC68" s="403"/>
      <c r="AE68" s="29"/>
      <c r="AF68" s="30"/>
      <c r="AG68" s="30"/>
      <c r="AH68" s="30"/>
      <c r="AI68" s="30"/>
    </row>
    <row r="69" spans="2:35" ht="12" customHeight="1" thickBot="1" x14ac:dyDescent="0.3">
      <c r="B69" s="45" t="s">
        <v>527</v>
      </c>
      <c r="C69" s="92" t="s">
        <v>1562</v>
      </c>
      <c r="D69" s="204" t="s">
        <v>1124</v>
      </c>
      <c r="E69" s="77" t="s">
        <v>543</v>
      </c>
      <c r="F69" s="47">
        <v>3.8</v>
      </c>
      <c r="G69" s="224">
        <v>140</v>
      </c>
      <c r="H69" s="224">
        <f>ROUNDUP(Tabela1345[[#This Row],[PRICE]]*(1+PRICES!$C$4),0)</f>
        <v>168</v>
      </c>
      <c r="I69" s="175">
        <v>0.15</v>
      </c>
      <c r="J69" s="79">
        <f>Tabela1345[[#This Row],[PRICE]]*Tabela1345[[#This Row],[DISCOUNT per piece '[%']]]</f>
        <v>21</v>
      </c>
      <c r="K69" s="79">
        <f>Tabela1345[[#This Row],[PRICE]]*(1-Tabela1345[[#This Row],[DISCOUNT per piece '[%']]])</f>
        <v>119</v>
      </c>
      <c r="L69" s="176">
        <f>Tabela1345[[#This Row],[PCS]]*Tabela1345[[#This Row],[PROMOTIONAL PRICE]]</f>
        <v>0</v>
      </c>
      <c r="M69" s="497" cm="1">
        <f t="array" ref="M69">ROUNDUP(Tabela1345[[#This Row],[NEW PRICE]]*eurofxref_daily[],2)</f>
        <v>270.27999999999997</v>
      </c>
      <c r="N69" s="502">
        <f>Tabela1345[[#This Row],[CAD PRICE]]*O69</f>
        <v>0</v>
      </c>
      <c r="O69" s="62">
        <f>SUM(Tabela1345[[#This Row],[RAL 1023]:[Custom made colour (7% add price)]])</f>
        <v>0</v>
      </c>
      <c r="P69" s="62">
        <f>Tabela1345[[#This Row],[Weight (kg)]]*Tabela1345[[#This Row],[PCS]]</f>
        <v>0</v>
      </c>
      <c r="Q69" s="393"/>
      <c r="R69" s="482"/>
      <c r="S69" s="486"/>
      <c r="T69" s="466"/>
      <c r="U69" s="435"/>
      <c r="V69" s="467"/>
      <c r="W69" s="468"/>
      <c r="X69" s="436"/>
      <c r="Y69" s="470"/>
      <c r="Z69" s="469"/>
      <c r="AA69" s="449"/>
      <c r="AB69" s="449"/>
      <c r="AC69" s="403"/>
      <c r="AE69" s="29"/>
      <c r="AF69" s="30"/>
      <c r="AG69" s="30"/>
      <c r="AH69" s="30"/>
      <c r="AI69" s="30"/>
    </row>
    <row r="70" spans="2:35" ht="12" customHeight="1" thickBot="1" x14ac:dyDescent="0.3">
      <c r="B70" s="45" t="s">
        <v>529</v>
      </c>
      <c r="C70" s="92" t="s">
        <v>1563</v>
      </c>
      <c r="D70" s="204" t="s">
        <v>1125</v>
      </c>
      <c r="E70" s="77" t="s">
        <v>544</v>
      </c>
      <c r="F70" s="47">
        <v>3.7</v>
      </c>
      <c r="G70" s="224">
        <v>140</v>
      </c>
      <c r="H70" s="224">
        <f>ROUNDUP(Tabela1345[[#This Row],[PRICE]]*(1+PRICES!$C$4),0)</f>
        <v>168</v>
      </c>
      <c r="I70" s="175">
        <v>0.15</v>
      </c>
      <c r="J70" s="79">
        <f>Tabela1345[[#This Row],[PRICE]]*Tabela1345[[#This Row],[DISCOUNT per piece '[%']]]</f>
        <v>21</v>
      </c>
      <c r="K70" s="79">
        <f>Tabela1345[[#This Row],[PRICE]]*(1-Tabela1345[[#This Row],[DISCOUNT per piece '[%']]])</f>
        <v>119</v>
      </c>
      <c r="L70" s="176">
        <f>Tabela1345[[#This Row],[PCS]]*Tabela1345[[#This Row],[PROMOTIONAL PRICE]]</f>
        <v>0</v>
      </c>
      <c r="M70" s="497" cm="1">
        <f t="array" ref="M70">ROUNDUP(Tabela1345[[#This Row],[NEW PRICE]]*eurofxref_daily[],2)</f>
        <v>270.27999999999997</v>
      </c>
      <c r="N70" s="502">
        <f>Tabela1345[[#This Row],[CAD PRICE]]*O70</f>
        <v>0</v>
      </c>
      <c r="O70" s="62">
        <f>SUM(Tabela1345[[#This Row],[RAL 1023]:[Custom made colour (7% add price)]])</f>
        <v>0</v>
      </c>
      <c r="P70" s="62">
        <f>Tabela1345[[#This Row],[Weight (kg)]]*Tabela1345[[#This Row],[PCS]]</f>
        <v>0</v>
      </c>
      <c r="Q70" s="393"/>
      <c r="R70" s="482"/>
      <c r="S70" s="486"/>
      <c r="T70" s="466"/>
      <c r="U70" s="435"/>
      <c r="V70" s="467"/>
      <c r="W70" s="468"/>
      <c r="X70" s="436"/>
      <c r="Y70" s="470"/>
      <c r="Z70" s="469"/>
      <c r="AA70" s="449"/>
      <c r="AB70" s="449"/>
      <c r="AC70" s="403"/>
      <c r="AE70" s="29"/>
      <c r="AF70" s="30"/>
      <c r="AG70" s="30"/>
      <c r="AH70" s="30"/>
      <c r="AI70" s="30"/>
    </row>
    <row r="71" spans="2:35" ht="12" customHeight="1" thickBot="1" x14ac:dyDescent="0.3">
      <c r="B71" s="45" t="s">
        <v>531</v>
      </c>
      <c r="C71" s="92" t="s">
        <v>1564</v>
      </c>
      <c r="D71" s="204" t="s">
        <v>1126</v>
      </c>
      <c r="E71" s="77" t="s">
        <v>545</v>
      </c>
      <c r="F71" s="47">
        <v>3.7</v>
      </c>
      <c r="G71" s="224">
        <v>140</v>
      </c>
      <c r="H71" s="224">
        <f>ROUNDUP(Tabela1345[[#This Row],[PRICE]]*(1+PRICES!$C$4),0)</f>
        <v>168</v>
      </c>
      <c r="I71" s="175">
        <v>0.15</v>
      </c>
      <c r="J71" s="79">
        <f>Tabela1345[[#This Row],[PRICE]]*Tabela1345[[#This Row],[DISCOUNT per piece '[%']]]</f>
        <v>21</v>
      </c>
      <c r="K71" s="79">
        <f>Tabela1345[[#This Row],[PRICE]]*(1-Tabela1345[[#This Row],[DISCOUNT per piece '[%']]])</f>
        <v>119</v>
      </c>
      <c r="L71" s="176">
        <f>Tabela1345[[#This Row],[PCS]]*Tabela1345[[#This Row],[PROMOTIONAL PRICE]]</f>
        <v>0</v>
      </c>
      <c r="M71" s="497" cm="1">
        <f t="array" ref="M71">ROUNDUP(Tabela1345[[#This Row],[NEW PRICE]]*eurofxref_daily[],2)</f>
        <v>270.27999999999997</v>
      </c>
      <c r="N71" s="502">
        <f>Tabela1345[[#This Row],[CAD PRICE]]*O71</f>
        <v>0</v>
      </c>
      <c r="O71" s="62">
        <f>SUM(Tabela1345[[#This Row],[RAL 1023]:[Custom made colour (7% add price)]])</f>
        <v>0</v>
      </c>
      <c r="P71" s="62">
        <f>Tabela1345[[#This Row],[Weight (kg)]]*Tabela1345[[#This Row],[PCS]]</f>
        <v>0</v>
      </c>
      <c r="Q71" s="393"/>
      <c r="R71" s="482"/>
      <c r="S71" s="486"/>
      <c r="T71" s="466"/>
      <c r="U71" s="435"/>
      <c r="V71" s="467"/>
      <c r="W71" s="468"/>
      <c r="X71" s="436"/>
      <c r="Y71" s="470"/>
      <c r="Z71" s="469"/>
      <c r="AA71" s="449"/>
      <c r="AB71" s="449"/>
      <c r="AC71" s="403"/>
      <c r="AE71" s="29"/>
      <c r="AF71" s="30"/>
      <c r="AG71" s="30"/>
      <c r="AH71" s="30"/>
      <c r="AI71" s="30"/>
    </row>
    <row r="72" spans="2:35" ht="12" customHeight="1" thickBot="1" x14ac:dyDescent="0.3">
      <c r="B72" s="45" t="s">
        <v>533</v>
      </c>
      <c r="C72" s="92" t="s">
        <v>1565</v>
      </c>
      <c r="D72" s="204" t="s">
        <v>1127</v>
      </c>
      <c r="E72" s="77" t="s">
        <v>546</v>
      </c>
      <c r="F72" s="47">
        <v>3.7</v>
      </c>
      <c r="G72" s="224">
        <v>140</v>
      </c>
      <c r="H72" s="224">
        <f>ROUNDUP(Tabela1345[[#This Row],[PRICE]]*(1+PRICES!$C$4),0)</f>
        <v>168</v>
      </c>
      <c r="I72" s="175">
        <v>0.15</v>
      </c>
      <c r="J72" s="79">
        <f>Tabela1345[[#This Row],[PRICE]]*Tabela1345[[#This Row],[DISCOUNT per piece '[%']]]</f>
        <v>21</v>
      </c>
      <c r="K72" s="79">
        <f>Tabela1345[[#This Row],[PRICE]]*(1-Tabela1345[[#This Row],[DISCOUNT per piece '[%']]])</f>
        <v>119</v>
      </c>
      <c r="L72" s="176">
        <f>Tabela1345[[#This Row],[PCS]]*Tabela1345[[#This Row],[PROMOTIONAL PRICE]]</f>
        <v>0</v>
      </c>
      <c r="M72" s="497" cm="1">
        <f t="array" ref="M72">ROUNDUP(Tabela1345[[#This Row],[NEW PRICE]]*eurofxref_daily[],2)</f>
        <v>270.27999999999997</v>
      </c>
      <c r="N72" s="502">
        <f>Tabela1345[[#This Row],[CAD PRICE]]*O72</f>
        <v>0</v>
      </c>
      <c r="O72" s="62">
        <f>SUM(Tabela1345[[#This Row],[RAL 1023]:[Custom made colour (7% add price)]])</f>
        <v>0</v>
      </c>
      <c r="P72" s="62">
        <f>Tabela1345[[#This Row],[Weight (kg)]]*Tabela1345[[#This Row],[PCS]]</f>
        <v>0</v>
      </c>
      <c r="Q72" s="393"/>
      <c r="R72" s="482"/>
      <c r="S72" s="486"/>
      <c r="T72" s="466"/>
      <c r="U72" s="435"/>
      <c r="V72" s="467"/>
      <c r="W72" s="468"/>
      <c r="X72" s="436"/>
      <c r="Y72" s="470"/>
      <c r="Z72" s="469"/>
      <c r="AA72" s="449"/>
      <c r="AB72" s="449"/>
      <c r="AC72" s="403"/>
      <c r="AE72" s="29"/>
      <c r="AF72" s="30"/>
      <c r="AG72" s="30"/>
      <c r="AH72" s="30"/>
      <c r="AI72" s="30"/>
    </row>
    <row r="73" spans="2:35" ht="12" customHeight="1" thickBot="1" x14ac:dyDescent="0.3">
      <c r="B73" s="45" t="s">
        <v>535</v>
      </c>
      <c r="C73" s="92" t="s">
        <v>1566</v>
      </c>
      <c r="D73" s="204" t="s">
        <v>1128</v>
      </c>
      <c r="E73" s="77" t="s">
        <v>547</v>
      </c>
      <c r="F73" s="47">
        <v>3.9</v>
      </c>
      <c r="G73" s="224">
        <v>147</v>
      </c>
      <c r="H73" s="224">
        <f>ROUNDUP(Tabela1345[[#This Row],[PRICE]]*(1+PRICES!$C$4),0)</f>
        <v>177</v>
      </c>
      <c r="I73" s="175">
        <v>0.15</v>
      </c>
      <c r="J73" s="79">
        <f>Tabela1345[[#This Row],[PRICE]]*Tabela1345[[#This Row],[DISCOUNT per piece '[%']]]</f>
        <v>22.05</v>
      </c>
      <c r="K73" s="79">
        <f>Tabela1345[[#This Row],[PRICE]]*(1-Tabela1345[[#This Row],[DISCOUNT per piece '[%']]])</f>
        <v>124.95</v>
      </c>
      <c r="L73" s="176">
        <f>Tabela1345[[#This Row],[PCS]]*Tabela1345[[#This Row],[PROMOTIONAL PRICE]]</f>
        <v>0</v>
      </c>
      <c r="M73" s="497" cm="1">
        <f t="array" ref="M73">ROUNDUP(Tabela1345[[#This Row],[NEW PRICE]]*eurofxref_daily[],2)</f>
        <v>284.76</v>
      </c>
      <c r="N73" s="502">
        <f>Tabela1345[[#This Row],[CAD PRICE]]*O73</f>
        <v>0</v>
      </c>
      <c r="O73" s="62">
        <f>SUM(Tabela1345[[#This Row],[RAL 1023]:[Custom made colour (7% add price)]])</f>
        <v>0</v>
      </c>
      <c r="P73" s="62">
        <f>Tabela1345[[#This Row],[Weight (kg)]]*Tabela1345[[#This Row],[PCS]]</f>
        <v>0</v>
      </c>
      <c r="Q73" s="393"/>
      <c r="R73" s="482"/>
      <c r="S73" s="486"/>
      <c r="T73" s="466"/>
      <c r="U73" s="435"/>
      <c r="V73" s="467"/>
      <c r="W73" s="468"/>
      <c r="X73" s="436"/>
      <c r="Y73" s="470"/>
      <c r="Z73" s="469"/>
      <c r="AA73" s="449"/>
      <c r="AB73" s="449"/>
      <c r="AC73" s="403"/>
      <c r="AE73" s="29"/>
      <c r="AF73" s="30"/>
      <c r="AG73" s="30"/>
      <c r="AH73" s="30"/>
      <c r="AI73" s="30"/>
    </row>
    <row r="74" spans="2:35" ht="12" customHeight="1" thickBot="1" x14ac:dyDescent="0.3">
      <c r="B74" s="45" t="s">
        <v>537</v>
      </c>
      <c r="C74" s="92" t="s">
        <v>1567</v>
      </c>
      <c r="D74" s="204" t="s">
        <v>1129</v>
      </c>
      <c r="E74" s="77" t="s">
        <v>548</v>
      </c>
      <c r="F74" s="47">
        <v>3.9</v>
      </c>
      <c r="G74" s="224">
        <v>147</v>
      </c>
      <c r="H74" s="224">
        <f>ROUNDUP(Tabela1345[[#This Row],[PRICE]]*(1+PRICES!$C$4),0)</f>
        <v>177</v>
      </c>
      <c r="I74" s="175">
        <v>0.15</v>
      </c>
      <c r="J74" s="79">
        <f>Tabela1345[[#This Row],[PRICE]]*Tabela1345[[#This Row],[DISCOUNT per piece '[%']]]</f>
        <v>22.05</v>
      </c>
      <c r="K74" s="79">
        <f>Tabela1345[[#This Row],[PRICE]]*(1-Tabela1345[[#This Row],[DISCOUNT per piece '[%']]])</f>
        <v>124.95</v>
      </c>
      <c r="L74" s="176">
        <f>Tabela1345[[#This Row],[PCS]]*Tabela1345[[#This Row],[PROMOTIONAL PRICE]]</f>
        <v>0</v>
      </c>
      <c r="M74" s="497" cm="1">
        <f t="array" ref="M74">ROUNDUP(Tabela1345[[#This Row],[NEW PRICE]]*eurofxref_daily[],2)</f>
        <v>284.76</v>
      </c>
      <c r="N74" s="502">
        <f>Tabela1345[[#This Row],[CAD PRICE]]*O74</f>
        <v>0</v>
      </c>
      <c r="O74" s="62">
        <f>SUM(Tabela1345[[#This Row],[RAL 1023]:[Custom made colour (7% add price)]])</f>
        <v>0</v>
      </c>
      <c r="P74" s="62">
        <f>Tabela1345[[#This Row],[Weight (kg)]]*Tabela1345[[#This Row],[PCS]]</f>
        <v>0</v>
      </c>
      <c r="Q74" s="393"/>
      <c r="R74" s="482"/>
      <c r="S74" s="486"/>
      <c r="T74" s="466"/>
      <c r="U74" s="435"/>
      <c r="V74" s="467"/>
      <c r="W74" s="468"/>
      <c r="X74" s="436"/>
      <c r="Y74" s="470"/>
      <c r="Z74" s="469"/>
      <c r="AA74" s="449"/>
      <c r="AB74" s="449"/>
      <c r="AC74" s="403"/>
      <c r="AE74" s="29"/>
      <c r="AF74" s="30"/>
      <c r="AG74" s="30"/>
      <c r="AH74" s="30"/>
      <c r="AI74" s="30"/>
    </row>
    <row r="75" spans="2:35" ht="12" customHeight="1" thickBot="1" x14ac:dyDescent="0.3">
      <c r="B75" s="45" t="s">
        <v>539</v>
      </c>
      <c r="C75" s="92" t="s">
        <v>1568</v>
      </c>
      <c r="D75" s="204" t="s">
        <v>1130</v>
      </c>
      <c r="E75" s="77" t="s">
        <v>549</v>
      </c>
      <c r="F75" s="47">
        <v>4</v>
      </c>
      <c r="G75" s="224">
        <v>147</v>
      </c>
      <c r="H75" s="224">
        <f>ROUNDUP(Tabela1345[[#This Row],[PRICE]]*(1+PRICES!$C$4),0)</f>
        <v>177</v>
      </c>
      <c r="I75" s="175">
        <v>0.15</v>
      </c>
      <c r="J75" s="79">
        <f>Tabela1345[[#This Row],[PRICE]]*Tabela1345[[#This Row],[DISCOUNT per piece '[%']]]</f>
        <v>22.05</v>
      </c>
      <c r="K75" s="79">
        <f>Tabela1345[[#This Row],[PRICE]]*(1-Tabela1345[[#This Row],[DISCOUNT per piece '[%']]])</f>
        <v>124.95</v>
      </c>
      <c r="L75" s="176">
        <f>Tabela1345[[#This Row],[PCS]]*Tabela1345[[#This Row],[PROMOTIONAL PRICE]]</f>
        <v>0</v>
      </c>
      <c r="M75" s="497" cm="1">
        <f t="array" ref="M75">ROUNDUP(Tabela1345[[#This Row],[NEW PRICE]]*eurofxref_daily[],2)</f>
        <v>284.76</v>
      </c>
      <c r="N75" s="502">
        <f>Tabela1345[[#This Row],[CAD PRICE]]*O75</f>
        <v>0</v>
      </c>
      <c r="O75" s="62">
        <f>SUM(Tabela1345[[#This Row],[RAL 1023]:[Custom made colour (7% add price)]])</f>
        <v>0</v>
      </c>
      <c r="P75" s="62">
        <f>Tabela1345[[#This Row],[Weight (kg)]]*Tabela1345[[#This Row],[PCS]]</f>
        <v>0</v>
      </c>
      <c r="Q75" s="393"/>
      <c r="R75" s="482"/>
      <c r="S75" s="486"/>
      <c r="T75" s="466"/>
      <c r="U75" s="435"/>
      <c r="V75" s="467"/>
      <c r="W75" s="468"/>
      <c r="X75" s="436"/>
      <c r="Y75" s="470"/>
      <c r="Z75" s="469"/>
      <c r="AA75" s="449"/>
      <c r="AB75" s="449"/>
      <c r="AC75" s="403"/>
      <c r="AE75" s="29"/>
      <c r="AF75" s="30"/>
      <c r="AG75" s="30"/>
      <c r="AH75" s="30"/>
      <c r="AI75" s="30"/>
    </row>
    <row r="76" spans="2:35" ht="12" customHeight="1" thickBot="1" x14ac:dyDescent="0.3">
      <c r="B76" s="350"/>
      <c r="C76" s="139" t="s">
        <v>1579</v>
      </c>
      <c r="D76" s="126"/>
      <c r="E76" s="124"/>
      <c r="F76" s="124"/>
      <c r="G76" s="358"/>
      <c r="H76" s="348"/>
      <c r="I76" s="124"/>
      <c r="J76" s="124"/>
      <c r="K76" s="124"/>
      <c r="L76" s="215"/>
      <c r="M76" s="124"/>
      <c r="N76" s="124"/>
      <c r="O76" s="124"/>
      <c r="P76" s="140"/>
      <c r="Q76" s="392"/>
      <c r="R76" s="399"/>
      <c r="S76" s="392"/>
      <c r="T76" s="399"/>
      <c r="U76" s="399"/>
      <c r="V76" s="399"/>
      <c r="W76" s="399"/>
      <c r="X76" s="399"/>
      <c r="Y76" s="399"/>
      <c r="Z76" s="461"/>
      <c r="AA76" s="461"/>
      <c r="AB76" s="461"/>
      <c r="AC76" s="80"/>
      <c r="AE76" s="29"/>
      <c r="AF76" s="30"/>
      <c r="AG76" s="30"/>
      <c r="AH76" s="30"/>
      <c r="AI76" s="30"/>
    </row>
    <row r="77" spans="2:35" ht="12" customHeight="1" thickBot="1" x14ac:dyDescent="0.3">
      <c r="B77" s="29" t="s">
        <v>520</v>
      </c>
      <c r="C77" s="94" t="s">
        <v>1569</v>
      </c>
      <c r="D77" s="238" t="s">
        <v>1221</v>
      </c>
      <c r="E77" s="145" t="s">
        <v>540</v>
      </c>
      <c r="F77" s="145">
        <v>3.7</v>
      </c>
      <c r="G77" s="224">
        <v>175</v>
      </c>
      <c r="H77" s="224">
        <f>ROUNDUP(Tabela1345[[#This Row],[PRICE]]*(1+PRICES!$C$4),0)</f>
        <v>210</v>
      </c>
      <c r="I77" s="175">
        <v>0.15</v>
      </c>
      <c r="J77" s="239">
        <f>Tabela1345[[#This Row],[PRICE]]*Tabela1345[[#This Row],[DISCOUNT per piece '[%']]]</f>
        <v>26.25</v>
      </c>
      <c r="K77" s="239">
        <f>Tabela1345[[#This Row],[PRICE]]*(1-Tabela1345[[#This Row],[DISCOUNT per piece '[%']]])</f>
        <v>148.75</v>
      </c>
      <c r="L77" s="240">
        <f>Tabela1345[[#This Row],[PCS]]*Tabela1345[[#This Row],[PROMOTIONAL PRICE]]</f>
        <v>0</v>
      </c>
      <c r="M77" s="497" cm="1">
        <f t="array" ref="M77">ROUNDUP(Tabela1345[[#This Row],[NEW PRICE]]*eurofxref_daily[],2)</f>
        <v>337.84999999999997</v>
      </c>
      <c r="N77" s="502">
        <f>Tabela1345[[#This Row],[CAD PRICE]]*O77</f>
        <v>0</v>
      </c>
      <c r="O77" s="128">
        <f t="shared" ref="O77:O86" si="4">SUM(R77:AC77)</f>
        <v>0</v>
      </c>
      <c r="P77" s="128">
        <f t="shared" ref="P77:P86" si="5">O77*F77</f>
        <v>0</v>
      </c>
      <c r="Q77" s="395" t="s">
        <v>2067</v>
      </c>
      <c r="R77" s="482"/>
      <c r="S77" s="486"/>
      <c r="T77" s="466"/>
      <c r="U77" s="435"/>
      <c r="V77" s="467"/>
      <c r="W77" s="468"/>
      <c r="X77" s="436"/>
      <c r="Y77" s="470"/>
      <c r="Z77" s="469"/>
      <c r="AA77" s="449"/>
      <c r="AB77" s="449"/>
      <c r="AC77" s="403"/>
      <c r="AE77" s="29"/>
      <c r="AF77" s="30"/>
      <c r="AG77" s="30"/>
      <c r="AH77" s="30"/>
      <c r="AI77" s="30"/>
    </row>
    <row r="78" spans="2:35" ht="12" customHeight="1" thickBot="1" x14ac:dyDescent="0.3">
      <c r="B78" s="29" t="s">
        <v>522</v>
      </c>
      <c r="C78" s="92" t="s">
        <v>1570</v>
      </c>
      <c r="D78" s="204" t="s">
        <v>1222</v>
      </c>
      <c r="E78" s="47" t="s">
        <v>541</v>
      </c>
      <c r="F78" s="47">
        <v>3.8</v>
      </c>
      <c r="G78" s="224">
        <v>175</v>
      </c>
      <c r="H78" s="224">
        <f>ROUNDUP(Tabela1345[[#This Row],[PRICE]]*(1+PRICES!$C$4),0)</f>
        <v>210</v>
      </c>
      <c r="I78" s="175">
        <v>0.15</v>
      </c>
      <c r="J78" s="49">
        <f>Tabela1345[[#This Row],[PRICE]]*Tabela1345[[#This Row],[DISCOUNT per piece '[%']]]</f>
        <v>26.25</v>
      </c>
      <c r="K78" s="49">
        <f>Tabela1345[[#This Row],[PRICE]]*(1-Tabela1345[[#This Row],[DISCOUNT per piece '[%']]])</f>
        <v>148.75</v>
      </c>
      <c r="L78" s="178">
        <f>Tabela1345[[#This Row],[PCS]]*Tabela1345[[#This Row],[PROMOTIONAL PRICE]]</f>
        <v>0</v>
      </c>
      <c r="M78" s="497" cm="1">
        <f t="array" ref="M78">ROUNDUP(Tabela1345[[#This Row],[NEW PRICE]]*eurofxref_daily[],2)</f>
        <v>337.84999999999997</v>
      </c>
      <c r="N78" s="502">
        <f>Tabela1345[[#This Row],[CAD PRICE]]*O78</f>
        <v>0</v>
      </c>
      <c r="O78" s="128">
        <f t="shared" si="4"/>
        <v>0</v>
      </c>
      <c r="P78" s="128">
        <f t="shared" si="5"/>
        <v>0</v>
      </c>
      <c r="Q78" s="395" t="s">
        <v>2067</v>
      </c>
      <c r="R78" s="482"/>
      <c r="S78" s="486"/>
      <c r="T78" s="466"/>
      <c r="U78" s="435"/>
      <c r="V78" s="467"/>
      <c r="W78" s="468"/>
      <c r="X78" s="436"/>
      <c r="Y78" s="470"/>
      <c r="Z78" s="469"/>
      <c r="AA78" s="449"/>
      <c r="AB78" s="449"/>
      <c r="AC78" s="403"/>
      <c r="AE78" s="29"/>
      <c r="AF78" s="30"/>
      <c r="AG78" s="30"/>
      <c r="AH78" s="30"/>
      <c r="AI78" s="30"/>
    </row>
    <row r="79" spans="2:35" ht="12" customHeight="1" thickBot="1" x14ac:dyDescent="0.3">
      <c r="B79" s="29" t="s">
        <v>524</v>
      </c>
      <c r="C79" s="92" t="s">
        <v>1571</v>
      </c>
      <c r="D79" s="204" t="s">
        <v>1223</v>
      </c>
      <c r="E79" s="47" t="s">
        <v>542</v>
      </c>
      <c r="F79" s="47">
        <v>3.9</v>
      </c>
      <c r="G79" s="224">
        <v>181</v>
      </c>
      <c r="H79" s="224">
        <f>ROUNDUP(Tabela1345[[#This Row],[PRICE]]*(1+PRICES!$C$4),0)</f>
        <v>218</v>
      </c>
      <c r="I79" s="175">
        <v>0.15</v>
      </c>
      <c r="J79" s="49">
        <f>Tabela1345[[#This Row],[PRICE]]*Tabela1345[[#This Row],[DISCOUNT per piece '[%']]]</f>
        <v>27.15</v>
      </c>
      <c r="K79" s="49">
        <f>Tabela1345[[#This Row],[PRICE]]*(1-Tabela1345[[#This Row],[DISCOUNT per piece '[%']]])</f>
        <v>153.85</v>
      </c>
      <c r="L79" s="178">
        <f>Tabela1345[[#This Row],[PCS]]*Tabela1345[[#This Row],[PROMOTIONAL PRICE]]</f>
        <v>0</v>
      </c>
      <c r="M79" s="497" cm="1">
        <f t="array" ref="M79">ROUNDUP(Tabela1345[[#This Row],[NEW PRICE]]*eurofxref_daily[],2)</f>
        <v>350.71999999999997</v>
      </c>
      <c r="N79" s="502">
        <f>Tabela1345[[#This Row],[CAD PRICE]]*O79</f>
        <v>0</v>
      </c>
      <c r="O79" s="128">
        <f t="shared" si="4"/>
        <v>0</v>
      </c>
      <c r="P79" s="128">
        <f t="shared" si="5"/>
        <v>0</v>
      </c>
      <c r="Q79" s="395" t="s">
        <v>2067</v>
      </c>
      <c r="R79" s="482"/>
      <c r="S79" s="486"/>
      <c r="T79" s="466"/>
      <c r="U79" s="435"/>
      <c r="V79" s="467"/>
      <c r="W79" s="468"/>
      <c r="X79" s="436"/>
      <c r="Y79" s="470"/>
      <c r="Z79" s="469"/>
      <c r="AA79" s="449"/>
      <c r="AB79" s="449"/>
      <c r="AC79" s="403"/>
      <c r="AE79" s="29"/>
      <c r="AF79" s="30"/>
      <c r="AG79" s="30"/>
      <c r="AH79" s="30"/>
      <c r="AI79" s="30"/>
    </row>
    <row r="80" spans="2:35" ht="12" customHeight="1" thickBot="1" x14ac:dyDescent="0.3">
      <c r="B80" s="29" t="s">
        <v>526</v>
      </c>
      <c r="C80" s="92" t="s">
        <v>1572</v>
      </c>
      <c r="D80" s="204" t="s">
        <v>1224</v>
      </c>
      <c r="E80" s="47" t="s">
        <v>543</v>
      </c>
      <c r="F80" s="47">
        <v>3.8</v>
      </c>
      <c r="G80" s="224">
        <v>175</v>
      </c>
      <c r="H80" s="224">
        <f>ROUNDUP(Tabela1345[[#This Row],[PRICE]]*(1+PRICES!$C$4),0)</f>
        <v>210</v>
      </c>
      <c r="I80" s="175">
        <v>0.15</v>
      </c>
      <c r="J80" s="49">
        <f>Tabela1345[[#This Row],[PRICE]]*Tabela1345[[#This Row],[DISCOUNT per piece '[%']]]</f>
        <v>26.25</v>
      </c>
      <c r="K80" s="49">
        <f>Tabela1345[[#This Row],[PRICE]]*(1-Tabela1345[[#This Row],[DISCOUNT per piece '[%']]])</f>
        <v>148.75</v>
      </c>
      <c r="L80" s="178">
        <f>Tabela1345[[#This Row],[PCS]]*Tabela1345[[#This Row],[PROMOTIONAL PRICE]]</f>
        <v>0</v>
      </c>
      <c r="M80" s="497" cm="1">
        <f t="array" ref="M80">ROUNDUP(Tabela1345[[#This Row],[NEW PRICE]]*eurofxref_daily[],2)</f>
        <v>337.84999999999997</v>
      </c>
      <c r="N80" s="502">
        <f>Tabela1345[[#This Row],[CAD PRICE]]*O80</f>
        <v>0</v>
      </c>
      <c r="O80" s="128">
        <f t="shared" si="4"/>
        <v>0</v>
      </c>
      <c r="P80" s="128">
        <f t="shared" si="5"/>
        <v>0</v>
      </c>
      <c r="Q80" s="395" t="s">
        <v>2067</v>
      </c>
      <c r="R80" s="482"/>
      <c r="S80" s="486"/>
      <c r="T80" s="466"/>
      <c r="U80" s="435"/>
      <c r="V80" s="467"/>
      <c r="W80" s="468"/>
      <c r="X80" s="436"/>
      <c r="Y80" s="470"/>
      <c r="Z80" s="469"/>
      <c r="AA80" s="449"/>
      <c r="AB80" s="449"/>
      <c r="AC80" s="403"/>
      <c r="AE80" s="29"/>
      <c r="AF80" s="30"/>
      <c r="AG80" s="30"/>
      <c r="AH80" s="30"/>
      <c r="AI80" s="30"/>
    </row>
    <row r="81" spans="2:35" ht="12" customHeight="1" thickBot="1" x14ac:dyDescent="0.3">
      <c r="B81" s="29" t="s">
        <v>528</v>
      </c>
      <c r="C81" s="92" t="s">
        <v>1573</v>
      </c>
      <c r="D81" s="204" t="s">
        <v>1225</v>
      </c>
      <c r="E81" s="47" t="s">
        <v>544</v>
      </c>
      <c r="F81" s="47">
        <v>3.7</v>
      </c>
      <c r="G81" s="224">
        <v>175</v>
      </c>
      <c r="H81" s="224">
        <f>ROUNDUP(Tabela1345[[#This Row],[PRICE]]*(1+PRICES!$C$4),0)</f>
        <v>210</v>
      </c>
      <c r="I81" s="175">
        <v>0.15</v>
      </c>
      <c r="J81" s="49">
        <f>Tabela1345[[#This Row],[PRICE]]*Tabela1345[[#This Row],[DISCOUNT per piece '[%']]]</f>
        <v>26.25</v>
      </c>
      <c r="K81" s="49">
        <f>Tabela1345[[#This Row],[PRICE]]*(1-Tabela1345[[#This Row],[DISCOUNT per piece '[%']]])</f>
        <v>148.75</v>
      </c>
      <c r="L81" s="178">
        <f>Tabela1345[[#This Row],[PCS]]*Tabela1345[[#This Row],[PROMOTIONAL PRICE]]</f>
        <v>0</v>
      </c>
      <c r="M81" s="497" cm="1">
        <f t="array" ref="M81">ROUNDUP(Tabela1345[[#This Row],[NEW PRICE]]*eurofxref_daily[],2)</f>
        <v>337.84999999999997</v>
      </c>
      <c r="N81" s="502">
        <f>Tabela1345[[#This Row],[CAD PRICE]]*O81</f>
        <v>0</v>
      </c>
      <c r="O81" s="128">
        <f t="shared" si="4"/>
        <v>0</v>
      </c>
      <c r="P81" s="128">
        <f t="shared" si="5"/>
        <v>0</v>
      </c>
      <c r="Q81" s="395" t="s">
        <v>2067</v>
      </c>
      <c r="R81" s="482"/>
      <c r="S81" s="486"/>
      <c r="T81" s="466"/>
      <c r="U81" s="435"/>
      <c r="V81" s="467"/>
      <c r="W81" s="468"/>
      <c r="X81" s="436"/>
      <c r="Y81" s="470"/>
      <c r="Z81" s="469"/>
      <c r="AA81" s="449"/>
      <c r="AB81" s="449"/>
      <c r="AC81" s="403"/>
      <c r="AE81" s="29"/>
      <c r="AF81" s="30"/>
      <c r="AG81" s="30"/>
      <c r="AH81" s="30"/>
      <c r="AI81" s="30"/>
    </row>
    <row r="82" spans="2:35" ht="12" customHeight="1" thickBot="1" x14ac:dyDescent="0.3">
      <c r="B82" s="29" t="s">
        <v>530</v>
      </c>
      <c r="C82" s="92" t="s">
        <v>1574</v>
      </c>
      <c r="D82" s="204" t="s">
        <v>1226</v>
      </c>
      <c r="E82" s="47" t="s">
        <v>545</v>
      </c>
      <c r="F82" s="47">
        <v>3.7</v>
      </c>
      <c r="G82" s="224">
        <v>175</v>
      </c>
      <c r="H82" s="224">
        <f>ROUNDUP(Tabela1345[[#This Row],[PRICE]]*(1+PRICES!$C$4),0)</f>
        <v>210</v>
      </c>
      <c r="I82" s="175">
        <v>0.15</v>
      </c>
      <c r="J82" s="49">
        <f>Tabela1345[[#This Row],[PRICE]]*Tabela1345[[#This Row],[DISCOUNT per piece '[%']]]</f>
        <v>26.25</v>
      </c>
      <c r="K82" s="49">
        <f>Tabela1345[[#This Row],[PRICE]]*(1-Tabela1345[[#This Row],[DISCOUNT per piece '[%']]])</f>
        <v>148.75</v>
      </c>
      <c r="L82" s="178">
        <f>Tabela1345[[#This Row],[PCS]]*Tabela1345[[#This Row],[PROMOTIONAL PRICE]]</f>
        <v>0</v>
      </c>
      <c r="M82" s="497" cm="1">
        <f t="array" ref="M82">ROUNDUP(Tabela1345[[#This Row],[NEW PRICE]]*eurofxref_daily[],2)</f>
        <v>337.84999999999997</v>
      </c>
      <c r="N82" s="502">
        <f>Tabela1345[[#This Row],[CAD PRICE]]*O82</f>
        <v>0</v>
      </c>
      <c r="O82" s="128">
        <f t="shared" si="4"/>
        <v>0</v>
      </c>
      <c r="P82" s="128">
        <f t="shared" si="5"/>
        <v>0</v>
      </c>
      <c r="Q82" s="395" t="s">
        <v>2067</v>
      </c>
      <c r="R82" s="482"/>
      <c r="S82" s="486"/>
      <c r="T82" s="466"/>
      <c r="U82" s="435"/>
      <c r="V82" s="467"/>
      <c r="W82" s="468"/>
      <c r="X82" s="436"/>
      <c r="Y82" s="470"/>
      <c r="Z82" s="469"/>
      <c r="AA82" s="449"/>
      <c r="AB82" s="449"/>
      <c r="AC82" s="403"/>
      <c r="AE82" s="29"/>
      <c r="AF82" s="30"/>
      <c r="AG82" s="30"/>
      <c r="AH82" s="30"/>
      <c r="AI82" s="30"/>
    </row>
    <row r="83" spans="2:35" ht="12" customHeight="1" thickBot="1" x14ac:dyDescent="0.3">
      <c r="B83" s="29" t="s">
        <v>532</v>
      </c>
      <c r="C83" s="92" t="s">
        <v>1575</v>
      </c>
      <c r="D83" s="204" t="s">
        <v>1227</v>
      </c>
      <c r="E83" s="47" t="s">
        <v>546</v>
      </c>
      <c r="F83" s="47">
        <v>3.7</v>
      </c>
      <c r="G83" s="224">
        <v>175</v>
      </c>
      <c r="H83" s="224">
        <f>ROUNDUP(Tabela1345[[#This Row],[PRICE]]*(1+PRICES!$C$4),0)</f>
        <v>210</v>
      </c>
      <c r="I83" s="175">
        <v>0.15</v>
      </c>
      <c r="J83" s="49">
        <f>Tabela1345[[#This Row],[PRICE]]*Tabela1345[[#This Row],[DISCOUNT per piece '[%']]]</f>
        <v>26.25</v>
      </c>
      <c r="K83" s="49">
        <f>Tabela1345[[#This Row],[PRICE]]*(1-Tabela1345[[#This Row],[DISCOUNT per piece '[%']]])</f>
        <v>148.75</v>
      </c>
      <c r="L83" s="178">
        <f>Tabela1345[[#This Row],[PCS]]*Tabela1345[[#This Row],[PROMOTIONAL PRICE]]</f>
        <v>0</v>
      </c>
      <c r="M83" s="497" cm="1">
        <f t="array" ref="M83">ROUNDUP(Tabela1345[[#This Row],[NEW PRICE]]*eurofxref_daily[],2)</f>
        <v>337.84999999999997</v>
      </c>
      <c r="N83" s="502">
        <f>Tabela1345[[#This Row],[CAD PRICE]]*O83</f>
        <v>0</v>
      </c>
      <c r="O83" s="128">
        <f t="shared" si="4"/>
        <v>0</v>
      </c>
      <c r="P83" s="128">
        <f t="shared" si="5"/>
        <v>0</v>
      </c>
      <c r="Q83" s="395" t="s">
        <v>2067</v>
      </c>
      <c r="R83" s="482"/>
      <c r="S83" s="486"/>
      <c r="T83" s="466"/>
      <c r="U83" s="435"/>
      <c r="V83" s="467"/>
      <c r="W83" s="468"/>
      <c r="X83" s="436"/>
      <c r="Y83" s="470"/>
      <c r="Z83" s="469"/>
      <c r="AA83" s="449"/>
      <c r="AB83" s="449"/>
      <c r="AC83" s="403"/>
      <c r="AE83" s="29"/>
      <c r="AF83" s="30"/>
      <c r="AG83" s="30"/>
      <c r="AH83" s="30"/>
      <c r="AI83" s="30"/>
    </row>
    <row r="84" spans="2:35" ht="12" customHeight="1" thickBot="1" x14ac:dyDescent="0.3">
      <c r="B84" s="29" t="s">
        <v>534</v>
      </c>
      <c r="C84" s="92" t="s">
        <v>1576</v>
      </c>
      <c r="D84" s="204" t="s">
        <v>1228</v>
      </c>
      <c r="E84" s="47" t="s">
        <v>547</v>
      </c>
      <c r="F84" s="47">
        <v>3.9</v>
      </c>
      <c r="G84" s="224">
        <v>181</v>
      </c>
      <c r="H84" s="224">
        <f>ROUNDUP(Tabela1345[[#This Row],[PRICE]]*(1+PRICES!$C$4),0)</f>
        <v>218</v>
      </c>
      <c r="I84" s="175">
        <v>0.15</v>
      </c>
      <c r="J84" s="49">
        <f>Tabela1345[[#This Row],[PRICE]]*Tabela1345[[#This Row],[DISCOUNT per piece '[%']]]</f>
        <v>27.15</v>
      </c>
      <c r="K84" s="49">
        <f>Tabela1345[[#This Row],[PRICE]]*(1-Tabela1345[[#This Row],[DISCOUNT per piece '[%']]])</f>
        <v>153.85</v>
      </c>
      <c r="L84" s="178">
        <f>Tabela1345[[#This Row],[PCS]]*Tabela1345[[#This Row],[PROMOTIONAL PRICE]]</f>
        <v>0</v>
      </c>
      <c r="M84" s="497" cm="1">
        <f t="array" ref="M84">ROUNDUP(Tabela1345[[#This Row],[NEW PRICE]]*eurofxref_daily[],2)</f>
        <v>350.71999999999997</v>
      </c>
      <c r="N84" s="502">
        <f>Tabela1345[[#This Row],[CAD PRICE]]*O84</f>
        <v>0</v>
      </c>
      <c r="O84" s="128">
        <f t="shared" si="4"/>
        <v>0</v>
      </c>
      <c r="P84" s="128">
        <f t="shared" si="5"/>
        <v>0</v>
      </c>
      <c r="Q84" s="395" t="s">
        <v>2067</v>
      </c>
      <c r="R84" s="482"/>
      <c r="S84" s="486"/>
      <c r="T84" s="466"/>
      <c r="U84" s="435"/>
      <c r="V84" s="467"/>
      <c r="W84" s="468"/>
      <c r="X84" s="436"/>
      <c r="Y84" s="470"/>
      <c r="Z84" s="469"/>
      <c r="AA84" s="449"/>
      <c r="AB84" s="449"/>
      <c r="AC84" s="403"/>
      <c r="AE84" s="29"/>
      <c r="AF84" s="30"/>
      <c r="AG84" s="30"/>
      <c r="AH84" s="30"/>
      <c r="AI84" s="30"/>
    </row>
    <row r="85" spans="2:35" ht="12" customHeight="1" thickBot="1" x14ac:dyDescent="0.3">
      <c r="B85" s="29" t="s">
        <v>536</v>
      </c>
      <c r="C85" s="92" t="s">
        <v>1577</v>
      </c>
      <c r="D85" s="204" t="s">
        <v>1229</v>
      </c>
      <c r="E85" s="47" t="s">
        <v>548</v>
      </c>
      <c r="F85" s="47">
        <v>3.9</v>
      </c>
      <c r="G85" s="224">
        <v>181</v>
      </c>
      <c r="H85" s="224">
        <f>ROUNDUP(Tabela1345[[#This Row],[PRICE]]*(1+PRICES!$C$4),0)</f>
        <v>218</v>
      </c>
      <c r="I85" s="175">
        <v>0.15</v>
      </c>
      <c r="J85" s="49">
        <f>Tabela1345[[#This Row],[PRICE]]*Tabela1345[[#This Row],[DISCOUNT per piece '[%']]]</f>
        <v>27.15</v>
      </c>
      <c r="K85" s="49">
        <f>Tabela1345[[#This Row],[PRICE]]*(1-Tabela1345[[#This Row],[DISCOUNT per piece '[%']]])</f>
        <v>153.85</v>
      </c>
      <c r="L85" s="178">
        <f>Tabela1345[[#This Row],[PCS]]*Tabela1345[[#This Row],[PROMOTIONAL PRICE]]</f>
        <v>0</v>
      </c>
      <c r="M85" s="497" cm="1">
        <f t="array" ref="M85">ROUNDUP(Tabela1345[[#This Row],[NEW PRICE]]*eurofxref_daily[],2)</f>
        <v>350.71999999999997</v>
      </c>
      <c r="N85" s="502">
        <f>Tabela1345[[#This Row],[CAD PRICE]]*O85</f>
        <v>0</v>
      </c>
      <c r="O85" s="128">
        <f t="shared" si="4"/>
        <v>0</v>
      </c>
      <c r="P85" s="128">
        <f t="shared" si="5"/>
        <v>0</v>
      </c>
      <c r="Q85" s="395" t="s">
        <v>2067</v>
      </c>
      <c r="R85" s="482"/>
      <c r="S85" s="486"/>
      <c r="T85" s="466"/>
      <c r="U85" s="435"/>
      <c r="V85" s="467"/>
      <c r="W85" s="468"/>
      <c r="X85" s="436"/>
      <c r="Y85" s="470"/>
      <c r="Z85" s="469"/>
      <c r="AA85" s="449"/>
      <c r="AB85" s="449"/>
      <c r="AC85" s="403"/>
      <c r="AE85" s="29"/>
      <c r="AF85" s="30"/>
      <c r="AG85" s="30"/>
      <c r="AH85" s="30"/>
      <c r="AI85" s="30"/>
    </row>
    <row r="86" spans="2:35" ht="12" customHeight="1" thickBot="1" x14ac:dyDescent="0.3">
      <c r="B86" s="29" t="s">
        <v>538</v>
      </c>
      <c r="C86" s="93" t="s">
        <v>1578</v>
      </c>
      <c r="D86" s="241" t="s">
        <v>1230</v>
      </c>
      <c r="E86" s="190" t="s">
        <v>549</v>
      </c>
      <c r="F86" s="190">
        <v>4</v>
      </c>
      <c r="G86" s="224">
        <v>181</v>
      </c>
      <c r="H86" s="224">
        <f>ROUNDUP(Tabela1345[[#This Row],[PRICE]]*(1+PRICES!$C$4),0)</f>
        <v>218</v>
      </c>
      <c r="I86" s="175">
        <v>0.15</v>
      </c>
      <c r="J86" s="192">
        <f>Tabela1345[[#This Row],[PRICE]]*Tabela1345[[#This Row],[DISCOUNT per piece '[%']]]</f>
        <v>27.15</v>
      </c>
      <c r="K86" s="192">
        <f>Tabela1345[[#This Row],[PRICE]]*(1-Tabela1345[[#This Row],[DISCOUNT per piece '[%']]])</f>
        <v>153.85</v>
      </c>
      <c r="L86" s="193">
        <f>Tabela1345[[#This Row],[PCS]]*Tabela1345[[#This Row],[PROMOTIONAL PRICE]]</f>
        <v>0</v>
      </c>
      <c r="M86" s="497" cm="1">
        <f t="array" ref="M86">ROUNDUP(Tabela1345[[#This Row],[NEW PRICE]]*eurofxref_daily[],2)</f>
        <v>350.71999999999997</v>
      </c>
      <c r="N86" s="502">
        <f>Tabela1345[[#This Row],[CAD PRICE]]*O86</f>
        <v>0</v>
      </c>
      <c r="O86" s="128">
        <f t="shared" si="4"/>
        <v>0</v>
      </c>
      <c r="P86" s="128">
        <f t="shared" si="5"/>
        <v>0</v>
      </c>
      <c r="Q86" s="395" t="s">
        <v>2067</v>
      </c>
      <c r="R86" s="482"/>
      <c r="S86" s="486"/>
      <c r="T86" s="466"/>
      <c r="U86" s="435"/>
      <c r="V86" s="467"/>
      <c r="W86" s="468"/>
      <c r="X86" s="436"/>
      <c r="Y86" s="470"/>
      <c r="Z86" s="469"/>
      <c r="AA86" s="449"/>
      <c r="AB86" s="449"/>
      <c r="AC86" s="403"/>
      <c r="AE86" s="29"/>
      <c r="AF86" s="30"/>
      <c r="AG86" s="30"/>
      <c r="AH86" s="30"/>
      <c r="AI86" s="30"/>
    </row>
    <row r="87" spans="2:35" ht="12" customHeight="1" thickBot="1" x14ac:dyDescent="0.3">
      <c r="B87" s="350"/>
      <c r="C87" s="139" t="s">
        <v>1580</v>
      </c>
      <c r="D87" s="126"/>
      <c r="E87" s="124"/>
      <c r="F87" s="124"/>
      <c r="G87" s="358"/>
      <c r="H87" s="348"/>
      <c r="I87" s="124"/>
      <c r="J87" s="124"/>
      <c r="K87" s="124"/>
      <c r="L87" s="215"/>
      <c r="M87" s="124"/>
      <c r="N87" s="124"/>
      <c r="O87" s="124"/>
      <c r="P87" s="140"/>
      <c r="Q87" s="392"/>
      <c r="R87" s="399"/>
      <c r="S87" s="392"/>
      <c r="T87" s="399"/>
      <c r="U87" s="399"/>
      <c r="V87" s="399"/>
      <c r="W87" s="399"/>
      <c r="X87" s="399"/>
      <c r="Y87" s="399"/>
      <c r="Z87" s="461"/>
      <c r="AA87" s="461"/>
      <c r="AB87" s="461"/>
      <c r="AC87" s="80"/>
      <c r="AE87" s="29"/>
      <c r="AF87" s="30"/>
      <c r="AG87" s="30"/>
      <c r="AH87" s="30"/>
      <c r="AI87" s="30"/>
    </row>
    <row r="88" spans="2:35" ht="12" customHeight="1" thickBot="1" x14ac:dyDescent="0.3">
      <c r="B88" s="29" t="s">
        <v>550</v>
      </c>
      <c r="C88" s="92" t="s">
        <v>1628</v>
      </c>
      <c r="D88" s="204" t="s">
        <v>1231</v>
      </c>
      <c r="E88" s="48" t="s">
        <v>555</v>
      </c>
      <c r="F88" s="47">
        <v>3.85</v>
      </c>
      <c r="G88" s="224">
        <v>202</v>
      </c>
      <c r="H88" s="224">
        <f>ROUNDUP(Tabela1345[[#This Row],[PRICE]]*(1+PRICES!$C$4),0)</f>
        <v>243</v>
      </c>
      <c r="I88" s="175">
        <v>0.15</v>
      </c>
      <c r="J88" s="49">
        <f>Tabela1345[[#This Row],[PRICE]]*Tabela1345[[#This Row],[DISCOUNT per piece '[%']]]</f>
        <v>30.299999999999997</v>
      </c>
      <c r="K88" s="49">
        <f>Tabela1345[[#This Row],[PRICE]]*(1-Tabela1345[[#This Row],[DISCOUNT per piece '[%']]])</f>
        <v>171.7</v>
      </c>
      <c r="L88" s="178">
        <f>Tabela1345[[#This Row],[PCS]]*Tabela1345[[#This Row],[PROMOTIONAL PRICE]]</f>
        <v>0</v>
      </c>
      <c r="M88" s="497" cm="1">
        <f t="array" ref="M88">ROUNDUP(Tabela1345[[#This Row],[NEW PRICE]]*eurofxref_daily[],2)</f>
        <v>390.94</v>
      </c>
      <c r="N88" s="502">
        <f>Tabela1345[[#This Row],[CAD PRICE]]*O88</f>
        <v>0</v>
      </c>
      <c r="O88" s="62">
        <f>SUM(Tabela1345[[#This Row],[RAL 1023]:[Custom made colour (7% add price)]])</f>
        <v>0</v>
      </c>
      <c r="P88" s="62">
        <f>Tabela1345[[#This Row],[Weight (kg)]]*Tabela1345[[#This Row],[PCS]]</f>
        <v>0</v>
      </c>
      <c r="Q88" s="393"/>
      <c r="R88" s="482"/>
      <c r="S88" s="486"/>
      <c r="T88" s="466"/>
      <c r="U88" s="435"/>
      <c r="V88" s="467"/>
      <c r="W88" s="468"/>
      <c r="X88" s="436"/>
      <c r="Y88" s="470"/>
      <c r="Z88" s="469"/>
      <c r="AA88" s="449"/>
      <c r="AB88" s="449"/>
      <c r="AC88" s="403"/>
      <c r="AE88" s="29"/>
      <c r="AF88" s="30"/>
      <c r="AG88" s="30"/>
      <c r="AH88" s="30"/>
      <c r="AI88" s="30"/>
    </row>
    <row r="89" spans="2:35" ht="12" customHeight="1" thickBot="1" x14ac:dyDescent="0.3">
      <c r="B89" s="29" t="s">
        <v>551</v>
      </c>
      <c r="C89" s="92" t="s">
        <v>1629</v>
      </c>
      <c r="D89" s="204" t="s">
        <v>1232</v>
      </c>
      <c r="E89" s="48" t="s">
        <v>556</v>
      </c>
      <c r="F89" s="47">
        <v>3</v>
      </c>
      <c r="G89" s="224">
        <v>202</v>
      </c>
      <c r="H89" s="224">
        <f>ROUNDUP(Tabela1345[[#This Row],[PRICE]]*(1+PRICES!$C$4),0)</f>
        <v>243</v>
      </c>
      <c r="I89" s="175">
        <v>0.15</v>
      </c>
      <c r="J89" s="49">
        <f>Tabela1345[[#This Row],[PRICE]]*Tabela1345[[#This Row],[DISCOUNT per piece '[%']]]</f>
        <v>30.299999999999997</v>
      </c>
      <c r="K89" s="49">
        <f>Tabela1345[[#This Row],[PRICE]]*(1-Tabela1345[[#This Row],[DISCOUNT per piece '[%']]])</f>
        <v>171.7</v>
      </c>
      <c r="L89" s="178">
        <f>Tabela1345[[#This Row],[PCS]]*Tabela1345[[#This Row],[PROMOTIONAL PRICE]]</f>
        <v>0</v>
      </c>
      <c r="M89" s="497" cm="1">
        <f t="array" ref="M89">ROUNDUP(Tabela1345[[#This Row],[NEW PRICE]]*eurofxref_daily[],2)</f>
        <v>390.94</v>
      </c>
      <c r="N89" s="502">
        <f>Tabela1345[[#This Row],[CAD PRICE]]*O89</f>
        <v>0</v>
      </c>
      <c r="O89" s="62">
        <f>SUM(Tabela1345[[#This Row],[RAL 1023]:[Custom made colour (7% add price)]])</f>
        <v>0</v>
      </c>
      <c r="P89" s="62">
        <f>Tabela1345[[#This Row],[Weight (kg)]]*Tabela1345[[#This Row],[PCS]]</f>
        <v>0</v>
      </c>
      <c r="Q89" s="393"/>
      <c r="R89" s="482"/>
      <c r="S89" s="486"/>
      <c r="T89" s="466"/>
      <c r="U89" s="435"/>
      <c r="V89" s="467"/>
      <c r="W89" s="468"/>
      <c r="X89" s="436"/>
      <c r="Y89" s="470"/>
      <c r="Z89" s="469"/>
      <c r="AA89" s="449"/>
      <c r="AB89" s="449"/>
      <c r="AC89" s="403"/>
      <c r="AE89" s="29"/>
      <c r="AF89" s="30"/>
      <c r="AG89" s="30"/>
      <c r="AH89" s="30"/>
      <c r="AI89" s="30"/>
    </row>
    <row r="90" spans="2:35" ht="12" customHeight="1" thickBot="1" x14ac:dyDescent="0.3">
      <c r="B90" s="29" t="s">
        <v>552</v>
      </c>
      <c r="C90" s="92" t="s">
        <v>1630</v>
      </c>
      <c r="D90" s="204" t="s">
        <v>1233</v>
      </c>
      <c r="E90" s="48" t="s">
        <v>557</v>
      </c>
      <c r="F90" s="47">
        <v>3</v>
      </c>
      <c r="G90" s="224">
        <v>202</v>
      </c>
      <c r="H90" s="224">
        <f>ROUNDUP(Tabela1345[[#This Row],[PRICE]]*(1+PRICES!$C$4),0)</f>
        <v>243</v>
      </c>
      <c r="I90" s="175">
        <v>0.15</v>
      </c>
      <c r="J90" s="49">
        <f>Tabela1345[[#This Row],[PRICE]]*Tabela1345[[#This Row],[DISCOUNT per piece '[%']]]</f>
        <v>30.299999999999997</v>
      </c>
      <c r="K90" s="49">
        <f>Tabela1345[[#This Row],[PRICE]]*(1-Tabela1345[[#This Row],[DISCOUNT per piece '[%']]])</f>
        <v>171.7</v>
      </c>
      <c r="L90" s="178">
        <f>Tabela1345[[#This Row],[PCS]]*Tabela1345[[#This Row],[PROMOTIONAL PRICE]]</f>
        <v>0</v>
      </c>
      <c r="M90" s="497" cm="1">
        <f t="array" ref="M90">ROUNDUP(Tabela1345[[#This Row],[NEW PRICE]]*eurofxref_daily[],2)</f>
        <v>390.94</v>
      </c>
      <c r="N90" s="502">
        <f>Tabela1345[[#This Row],[CAD PRICE]]*O90</f>
        <v>0</v>
      </c>
      <c r="O90" s="62">
        <f>SUM(Tabela1345[[#This Row],[RAL 1023]:[Custom made colour (7% add price)]])</f>
        <v>0</v>
      </c>
      <c r="P90" s="62">
        <f>Tabela1345[[#This Row],[Weight (kg)]]*Tabela1345[[#This Row],[PCS]]</f>
        <v>0</v>
      </c>
      <c r="Q90" s="393"/>
      <c r="R90" s="482"/>
      <c r="S90" s="486"/>
      <c r="T90" s="466"/>
      <c r="U90" s="435"/>
      <c r="V90" s="467"/>
      <c r="W90" s="468"/>
      <c r="X90" s="436"/>
      <c r="Y90" s="470"/>
      <c r="Z90" s="469"/>
      <c r="AA90" s="449"/>
      <c r="AB90" s="449"/>
      <c r="AC90" s="403"/>
      <c r="AE90" s="29"/>
      <c r="AF90" s="30"/>
      <c r="AG90" s="30"/>
      <c r="AH90" s="30"/>
      <c r="AI90" s="30"/>
    </row>
    <row r="91" spans="2:35" ht="12" customHeight="1" thickBot="1" x14ac:dyDescent="0.3">
      <c r="B91" s="29" t="s">
        <v>553</v>
      </c>
      <c r="C91" s="92" t="s">
        <v>1631</v>
      </c>
      <c r="D91" s="204" t="s">
        <v>1234</v>
      </c>
      <c r="E91" s="48" t="s">
        <v>558</v>
      </c>
      <c r="F91" s="47">
        <v>3.75</v>
      </c>
      <c r="G91" s="224">
        <v>202</v>
      </c>
      <c r="H91" s="224">
        <f>ROUNDUP(Tabela1345[[#This Row],[PRICE]]*(1+PRICES!$C$4),0)</f>
        <v>243</v>
      </c>
      <c r="I91" s="175">
        <v>0.15</v>
      </c>
      <c r="J91" s="49">
        <f>Tabela1345[[#This Row],[PRICE]]*Tabela1345[[#This Row],[DISCOUNT per piece '[%']]]</f>
        <v>30.299999999999997</v>
      </c>
      <c r="K91" s="49">
        <f>Tabela1345[[#This Row],[PRICE]]*(1-Tabela1345[[#This Row],[DISCOUNT per piece '[%']]])</f>
        <v>171.7</v>
      </c>
      <c r="L91" s="178">
        <f>Tabela1345[[#This Row],[PCS]]*Tabela1345[[#This Row],[PROMOTIONAL PRICE]]</f>
        <v>0</v>
      </c>
      <c r="M91" s="497" cm="1">
        <f t="array" ref="M91">ROUNDUP(Tabela1345[[#This Row],[NEW PRICE]]*eurofxref_daily[],2)</f>
        <v>390.94</v>
      </c>
      <c r="N91" s="502">
        <f>Tabela1345[[#This Row],[CAD PRICE]]*O91</f>
        <v>0</v>
      </c>
      <c r="O91" s="62">
        <f>SUM(Tabela1345[[#This Row],[RAL 1023]:[Custom made colour (7% add price)]])</f>
        <v>0</v>
      </c>
      <c r="P91" s="62">
        <f>Tabela1345[[#This Row],[Weight (kg)]]*Tabela1345[[#This Row],[PCS]]</f>
        <v>0</v>
      </c>
      <c r="Q91" s="393"/>
      <c r="R91" s="482"/>
      <c r="S91" s="486"/>
      <c r="T91" s="466"/>
      <c r="U91" s="435"/>
      <c r="V91" s="467"/>
      <c r="W91" s="468"/>
      <c r="X91" s="436"/>
      <c r="Y91" s="470"/>
      <c r="Z91" s="469"/>
      <c r="AA91" s="449"/>
      <c r="AB91" s="449"/>
      <c r="AC91" s="403"/>
      <c r="AE91" s="29"/>
      <c r="AF91" s="30"/>
      <c r="AG91" s="30"/>
      <c r="AH91" s="30"/>
      <c r="AI91" s="30"/>
    </row>
    <row r="92" spans="2:35" ht="12" customHeight="1" thickBot="1" x14ac:dyDescent="0.3">
      <c r="B92" s="29" t="s">
        <v>554</v>
      </c>
      <c r="C92" s="92" t="s">
        <v>1632</v>
      </c>
      <c r="D92" s="204" t="s">
        <v>1235</v>
      </c>
      <c r="E92" s="48" t="s">
        <v>559</v>
      </c>
      <c r="F92" s="47">
        <v>3</v>
      </c>
      <c r="G92" s="224">
        <v>202</v>
      </c>
      <c r="H92" s="224">
        <f>ROUNDUP(Tabela1345[[#This Row],[PRICE]]*(1+PRICES!$C$4),0)</f>
        <v>243</v>
      </c>
      <c r="I92" s="175">
        <v>0.15</v>
      </c>
      <c r="J92" s="49">
        <f>Tabela1345[[#This Row],[PRICE]]*Tabela1345[[#This Row],[DISCOUNT per piece '[%']]]</f>
        <v>30.299999999999997</v>
      </c>
      <c r="K92" s="49">
        <f>Tabela1345[[#This Row],[PRICE]]*(1-Tabela1345[[#This Row],[DISCOUNT per piece '[%']]])</f>
        <v>171.7</v>
      </c>
      <c r="L92" s="178">
        <f>Tabela1345[[#This Row],[PCS]]*Tabela1345[[#This Row],[PROMOTIONAL PRICE]]</f>
        <v>0</v>
      </c>
      <c r="M92" s="497" cm="1">
        <f t="array" ref="M92">ROUNDUP(Tabela1345[[#This Row],[NEW PRICE]]*eurofxref_daily[],2)</f>
        <v>390.94</v>
      </c>
      <c r="N92" s="502">
        <f>Tabela1345[[#This Row],[CAD PRICE]]*O92</f>
        <v>0</v>
      </c>
      <c r="O92" s="62">
        <f>SUM(Tabela1345[[#This Row],[RAL 1023]:[Custom made colour (7% add price)]])</f>
        <v>0</v>
      </c>
      <c r="P92" s="62">
        <f>Tabela1345[[#This Row],[Weight (kg)]]*Tabela1345[[#This Row],[PCS]]</f>
        <v>0</v>
      </c>
      <c r="Q92" s="393"/>
      <c r="R92" s="482"/>
      <c r="S92" s="486"/>
      <c r="T92" s="466"/>
      <c r="U92" s="435"/>
      <c r="V92" s="467"/>
      <c r="W92" s="468"/>
      <c r="X92" s="436"/>
      <c r="Y92" s="470"/>
      <c r="Z92" s="469"/>
      <c r="AA92" s="449"/>
      <c r="AB92" s="449"/>
      <c r="AC92" s="403"/>
      <c r="AE92" s="29"/>
      <c r="AF92" s="30"/>
      <c r="AG92" s="30"/>
      <c r="AH92" s="30"/>
      <c r="AI92" s="30"/>
    </row>
    <row r="93" spans="2:35" ht="12" customHeight="1" thickBot="1" x14ac:dyDescent="0.3">
      <c r="B93" s="350"/>
      <c r="C93" s="139" t="s">
        <v>1582</v>
      </c>
      <c r="D93" s="126"/>
      <c r="E93" s="124"/>
      <c r="F93" s="124"/>
      <c r="G93" s="358"/>
      <c r="H93" s="348"/>
      <c r="I93" s="124"/>
      <c r="J93" s="124"/>
      <c r="K93" s="124"/>
      <c r="L93" s="215"/>
      <c r="M93" s="124"/>
      <c r="N93" s="124"/>
      <c r="O93" s="124"/>
      <c r="P93" s="140"/>
      <c r="Q93" s="392"/>
      <c r="R93" s="399"/>
      <c r="S93" s="392"/>
      <c r="T93" s="399"/>
      <c r="U93" s="399"/>
      <c r="V93" s="399"/>
      <c r="W93" s="399"/>
      <c r="X93" s="399"/>
      <c r="Y93" s="399"/>
      <c r="Z93" s="461"/>
      <c r="AA93" s="461"/>
      <c r="AB93" s="461"/>
      <c r="AC93" s="80"/>
      <c r="AE93" s="29"/>
      <c r="AF93" s="30"/>
      <c r="AG93" s="30"/>
      <c r="AH93" s="30"/>
      <c r="AI93" s="30"/>
    </row>
    <row r="94" spans="2:35" ht="12" customHeight="1" thickBot="1" x14ac:dyDescent="0.3">
      <c r="B94" s="29" t="s">
        <v>1733</v>
      </c>
      <c r="C94" s="92" t="s">
        <v>1618</v>
      </c>
      <c r="D94" s="204" t="s">
        <v>1236</v>
      </c>
      <c r="E94" s="48" t="s">
        <v>560</v>
      </c>
      <c r="F94" s="47">
        <v>3</v>
      </c>
      <c r="G94" s="224">
        <v>234</v>
      </c>
      <c r="H94" s="224">
        <f>ROUNDUP(Tabela1345[[#This Row],[PRICE]]*(1+PRICES!$C$4),0)</f>
        <v>281</v>
      </c>
      <c r="I94" s="175">
        <v>0.2</v>
      </c>
      <c r="J94" s="49">
        <f>Tabela1345[[#This Row],[PRICE]]*Tabela1345[[#This Row],[DISCOUNT per piece '[%']]]</f>
        <v>46.800000000000004</v>
      </c>
      <c r="K94" s="49">
        <f>Tabela1345[[#This Row],[PRICE]]*(1-Tabela1345[[#This Row],[DISCOUNT per piece '[%']]])</f>
        <v>187.20000000000002</v>
      </c>
      <c r="L94" s="178">
        <f>Tabela1345[[#This Row],[PCS]]*Tabela1345[[#This Row],[PROMOTIONAL PRICE]]</f>
        <v>0</v>
      </c>
      <c r="M94" s="497" cm="1">
        <f t="array" ref="M94">ROUNDUP(Tabela1345[[#This Row],[NEW PRICE]]*eurofxref_daily[],2)</f>
        <v>452.08</v>
      </c>
      <c r="N94" s="502">
        <f>Tabela1345[[#This Row],[CAD PRICE]]*O94</f>
        <v>0</v>
      </c>
      <c r="O94" s="62">
        <f>SUM(Tabela1345[[#This Row],[RAL 1023]:[Custom made colour (7% add price)]])</f>
        <v>0</v>
      </c>
      <c r="P94" s="62">
        <f>Tabela1345[[#This Row],[Weight (kg)]]*Tabela1345[[#This Row],[PCS]]</f>
        <v>0</v>
      </c>
      <c r="Q94" s="395" t="s">
        <v>2067</v>
      </c>
      <c r="R94" s="482"/>
      <c r="S94" s="486"/>
      <c r="T94" s="466"/>
      <c r="U94" s="435"/>
      <c r="V94" s="467"/>
      <c r="W94" s="468"/>
      <c r="X94" s="436"/>
      <c r="Y94" s="470"/>
      <c r="Z94" s="469"/>
      <c r="AA94" s="449"/>
      <c r="AB94" s="449"/>
      <c r="AC94" s="403"/>
      <c r="AE94" s="29"/>
      <c r="AF94" s="30"/>
      <c r="AG94" s="30"/>
      <c r="AH94" s="30"/>
      <c r="AI94" s="30"/>
    </row>
    <row r="95" spans="2:35" ht="12" customHeight="1" thickBot="1" x14ac:dyDescent="0.3">
      <c r="B95" s="29" t="s">
        <v>1734</v>
      </c>
      <c r="C95" s="92" t="s">
        <v>1619</v>
      </c>
      <c r="D95" s="204" t="s">
        <v>1237</v>
      </c>
      <c r="E95" s="48" t="s">
        <v>561</v>
      </c>
      <c r="F95" s="47">
        <v>4</v>
      </c>
      <c r="G95" s="224">
        <v>234</v>
      </c>
      <c r="H95" s="224">
        <f>ROUNDUP(Tabela1345[[#This Row],[PRICE]]*(1+PRICES!$C$4),0)</f>
        <v>281</v>
      </c>
      <c r="I95" s="175">
        <v>0.2</v>
      </c>
      <c r="J95" s="49">
        <f>Tabela1345[[#This Row],[PRICE]]*Tabela1345[[#This Row],[DISCOUNT per piece '[%']]]</f>
        <v>46.800000000000004</v>
      </c>
      <c r="K95" s="49">
        <f>Tabela1345[[#This Row],[PRICE]]*(1-Tabela1345[[#This Row],[DISCOUNT per piece '[%']]])</f>
        <v>187.20000000000002</v>
      </c>
      <c r="L95" s="178">
        <f>Tabela1345[[#This Row],[PCS]]*Tabela1345[[#This Row],[PROMOTIONAL PRICE]]</f>
        <v>0</v>
      </c>
      <c r="M95" s="497" cm="1">
        <f t="array" ref="M95">ROUNDUP(Tabela1345[[#This Row],[NEW PRICE]]*eurofxref_daily[],2)</f>
        <v>452.08</v>
      </c>
      <c r="N95" s="502">
        <f>Tabela1345[[#This Row],[CAD PRICE]]*O95</f>
        <v>0</v>
      </c>
      <c r="O95" s="62">
        <f>SUM(Tabela1345[[#This Row],[RAL 1023]:[Custom made colour (7% add price)]])</f>
        <v>0</v>
      </c>
      <c r="P95" s="62">
        <f>Tabela1345[[#This Row],[Weight (kg)]]*Tabela1345[[#This Row],[PCS]]</f>
        <v>0</v>
      </c>
      <c r="Q95" s="395" t="s">
        <v>2067</v>
      </c>
      <c r="R95" s="482"/>
      <c r="S95" s="486"/>
      <c r="T95" s="466"/>
      <c r="U95" s="435"/>
      <c r="V95" s="467"/>
      <c r="W95" s="468"/>
      <c r="X95" s="436"/>
      <c r="Y95" s="470"/>
      <c r="Z95" s="469"/>
      <c r="AA95" s="449"/>
      <c r="AB95" s="449"/>
      <c r="AC95" s="403"/>
      <c r="AE95" s="29"/>
      <c r="AF95" s="30"/>
      <c r="AG95" s="30"/>
      <c r="AH95" s="30"/>
      <c r="AI95" s="30"/>
    </row>
    <row r="96" spans="2:35" ht="12" customHeight="1" thickBot="1" x14ac:dyDescent="0.3">
      <c r="B96" s="29" t="s">
        <v>1735</v>
      </c>
      <c r="C96" s="92" t="s">
        <v>1620</v>
      </c>
      <c r="D96" s="204" t="s">
        <v>1238</v>
      </c>
      <c r="E96" s="48" t="s">
        <v>562</v>
      </c>
      <c r="F96" s="47">
        <v>4.2</v>
      </c>
      <c r="G96" s="224">
        <v>234</v>
      </c>
      <c r="H96" s="224">
        <f>ROUNDUP(Tabela1345[[#This Row],[PRICE]]*(1+PRICES!$C$4),0)</f>
        <v>281</v>
      </c>
      <c r="I96" s="175">
        <v>0.2</v>
      </c>
      <c r="J96" s="49">
        <f>Tabela1345[[#This Row],[PRICE]]*Tabela1345[[#This Row],[DISCOUNT per piece '[%']]]</f>
        <v>46.800000000000004</v>
      </c>
      <c r="K96" s="49">
        <f>Tabela1345[[#This Row],[PRICE]]*(1-Tabela1345[[#This Row],[DISCOUNT per piece '[%']]])</f>
        <v>187.20000000000002</v>
      </c>
      <c r="L96" s="178">
        <f>Tabela1345[[#This Row],[PCS]]*Tabela1345[[#This Row],[PROMOTIONAL PRICE]]</f>
        <v>0</v>
      </c>
      <c r="M96" s="497" cm="1">
        <f t="array" ref="M96">ROUNDUP(Tabela1345[[#This Row],[NEW PRICE]]*eurofxref_daily[],2)</f>
        <v>452.08</v>
      </c>
      <c r="N96" s="502">
        <f>Tabela1345[[#This Row],[CAD PRICE]]*O96</f>
        <v>0</v>
      </c>
      <c r="O96" s="62">
        <f>SUM(Tabela1345[[#This Row],[RAL 1023]:[Custom made colour (7% add price)]])</f>
        <v>0</v>
      </c>
      <c r="P96" s="62">
        <f>Tabela1345[[#This Row],[Weight (kg)]]*Tabela1345[[#This Row],[PCS]]</f>
        <v>0</v>
      </c>
      <c r="Q96" s="395" t="s">
        <v>2067</v>
      </c>
      <c r="R96" s="482"/>
      <c r="S96" s="486"/>
      <c r="T96" s="466"/>
      <c r="U96" s="435"/>
      <c r="V96" s="467"/>
      <c r="W96" s="468"/>
      <c r="X96" s="436"/>
      <c r="Y96" s="470"/>
      <c r="Z96" s="469"/>
      <c r="AA96" s="449"/>
      <c r="AB96" s="449"/>
      <c r="AC96" s="403"/>
      <c r="AE96" s="29"/>
      <c r="AF96" s="30"/>
      <c r="AG96" s="30"/>
      <c r="AH96" s="30"/>
      <c r="AI96" s="30"/>
    </row>
    <row r="97" spans="2:35" ht="12" customHeight="1" thickBot="1" x14ac:dyDescent="0.3">
      <c r="B97" s="29" t="s">
        <v>1736</v>
      </c>
      <c r="C97" s="92" t="s">
        <v>1621</v>
      </c>
      <c r="D97" s="204" t="s">
        <v>1239</v>
      </c>
      <c r="E97" s="48" t="s">
        <v>563</v>
      </c>
      <c r="F97" s="47">
        <v>2.1</v>
      </c>
      <c r="G97" s="224">
        <v>218</v>
      </c>
      <c r="H97" s="224">
        <f>ROUNDUP(Tabela1345[[#This Row],[PRICE]]*(1+PRICES!$C$4),0)</f>
        <v>262</v>
      </c>
      <c r="I97" s="175">
        <v>0.2</v>
      </c>
      <c r="J97" s="49">
        <f>Tabela1345[[#This Row],[PRICE]]*Tabela1345[[#This Row],[DISCOUNT per piece '[%']]]</f>
        <v>43.6</v>
      </c>
      <c r="K97" s="49">
        <f>Tabela1345[[#This Row],[PRICE]]*(1-Tabela1345[[#This Row],[DISCOUNT per piece '[%']]])</f>
        <v>174.4</v>
      </c>
      <c r="L97" s="178">
        <f>Tabela1345[[#This Row],[PCS]]*Tabela1345[[#This Row],[PROMOTIONAL PRICE]]</f>
        <v>0</v>
      </c>
      <c r="M97" s="497" cm="1">
        <f t="array" ref="M97">ROUNDUP(Tabela1345[[#This Row],[NEW PRICE]]*eurofxref_daily[],2)</f>
        <v>421.51</v>
      </c>
      <c r="N97" s="502">
        <f>Tabela1345[[#This Row],[CAD PRICE]]*O97</f>
        <v>0</v>
      </c>
      <c r="O97" s="62">
        <f>SUM(Tabela1345[[#This Row],[RAL 1023]:[Custom made colour (7% add price)]])</f>
        <v>0</v>
      </c>
      <c r="P97" s="62">
        <f>Tabela1345[[#This Row],[Weight (kg)]]*Tabela1345[[#This Row],[PCS]]</f>
        <v>0</v>
      </c>
      <c r="Q97" s="395" t="s">
        <v>2067</v>
      </c>
      <c r="R97" s="482"/>
      <c r="S97" s="486"/>
      <c r="T97" s="466"/>
      <c r="U97" s="435"/>
      <c r="V97" s="467"/>
      <c r="W97" s="468"/>
      <c r="X97" s="436"/>
      <c r="Y97" s="470"/>
      <c r="Z97" s="469"/>
      <c r="AA97" s="449"/>
      <c r="AB97" s="449"/>
      <c r="AC97" s="403"/>
      <c r="AE97" s="29"/>
      <c r="AF97" s="30"/>
      <c r="AG97" s="30"/>
      <c r="AH97" s="30"/>
      <c r="AI97" s="30"/>
    </row>
    <row r="98" spans="2:35" ht="12" customHeight="1" thickBot="1" x14ac:dyDescent="0.3">
      <c r="B98" s="29" t="s">
        <v>1737</v>
      </c>
      <c r="C98" s="92" t="s">
        <v>1622</v>
      </c>
      <c r="D98" s="204" t="s">
        <v>1240</v>
      </c>
      <c r="E98" s="48" t="s">
        <v>564</v>
      </c>
      <c r="F98" s="47">
        <v>2.2000000000000002</v>
      </c>
      <c r="G98" s="224">
        <v>226</v>
      </c>
      <c r="H98" s="224">
        <f>ROUNDUP(Tabela1345[[#This Row],[PRICE]]*(1+PRICES!$C$4),0)</f>
        <v>272</v>
      </c>
      <c r="I98" s="175">
        <v>0.2</v>
      </c>
      <c r="J98" s="49">
        <f>Tabela1345[[#This Row],[PRICE]]*Tabela1345[[#This Row],[DISCOUNT per piece '[%']]]</f>
        <v>45.2</v>
      </c>
      <c r="K98" s="49">
        <f>Tabela1345[[#This Row],[PRICE]]*(1-Tabela1345[[#This Row],[DISCOUNT per piece '[%']]])</f>
        <v>180.8</v>
      </c>
      <c r="L98" s="178">
        <f>Tabela1345[[#This Row],[PCS]]*Tabela1345[[#This Row],[PROMOTIONAL PRICE]]</f>
        <v>0</v>
      </c>
      <c r="M98" s="497" cm="1">
        <f t="array" ref="M98">ROUNDUP(Tabela1345[[#This Row],[NEW PRICE]]*eurofxref_daily[],2)</f>
        <v>437.59999999999997</v>
      </c>
      <c r="N98" s="502">
        <f>Tabela1345[[#This Row],[CAD PRICE]]*O98</f>
        <v>0</v>
      </c>
      <c r="O98" s="62">
        <f>SUM(Tabela1345[[#This Row],[RAL 1023]:[Custom made colour (7% add price)]])</f>
        <v>0</v>
      </c>
      <c r="P98" s="62">
        <f>Tabela1345[[#This Row],[Weight (kg)]]*Tabela1345[[#This Row],[PCS]]</f>
        <v>0</v>
      </c>
      <c r="Q98" s="395" t="s">
        <v>2067</v>
      </c>
      <c r="R98" s="482"/>
      <c r="S98" s="486"/>
      <c r="T98" s="466"/>
      <c r="U98" s="435"/>
      <c r="V98" s="467"/>
      <c r="W98" s="468"/>
      <c r="X98" s="436"/>
      <c r="Y98" s="470"/>
      <c r="Z98" s="469"/>
      <c r="AA98" s="449"/>
      <c r="AB98" s="449"/>
      <c r="AC98" s="403"/>
      <c r="AE98" s="29"/>
      <c r="AF98" s="30"/>
      <c r="AG98" s="30"/>
      <c r="AH98" s="30"/>
      <c r="AI98" s="30"/>
    </row>
    <row r="99" spans="2:35" ht="12" customHeight="1" thickBot="1" x14ac:dyDescent="0.3">
      <c r="B99" s="29" t="s">
        <v>1738</v>
      </c>
      <c r="C99" s="92" t="s">
        <v>1623</v>
      </c>
      <c r="D99" s="204" t="s">
        <v>1241</v>
      </c>
      <c r="E99" s="48" t="s">
        <v>565</v>
      </c>
      <c r="F99" s="47">
        <v>3</v>
      </c>
      <c r="G99" s="224">
        <v>233</v>
      </c>
      <c r="H99" s="224">
        <f>ROUNDUP(Tabela1345[[#This Row],[PRICE]]*(1+PRICES!$C$4),0)</f>
        <v>280</v>
      </c>
      <c r="I99" s="175">
        <v>0.2</v>
      </c>
      <c r="J99" s="49">
        <f>Tabela1345[[#This Row],[PRICE]]*Tabela1345[[#This Row],[DISCOUNT per piece '[%']]]</f>
        <v>46.6</v>
      </c>
      <c r="K99" s="49">
        <f>Tabela1345[[#This Row],[PRICE]]*(1-Tabela1345[[#This Row],[DISCOUNT per piece '[%']]])</f>
        <v>186.4</v>
      </c>
      <c r="L99" s="178">
        <f>Tabela1345[[#This Row],[PCS]]*Tabela1345[[#This Row],[PROMOTIONAL PRICE]]</f>
        <v>0</v>
      </c>
      <c r="M99" s="497" cm="1">
        <f t="array" ref="M99">ROUNDUP(Tabela1345[[#This Row],[NEW PRICE]]*eurofxref_daily[],2)</f>
        <v>450.46999999999997</v>
      </c>
      <c r="N99" s="502">
        <f>Tabela1345[[#This Row],[CAD PRICE]]*O99</f>
        <v>0</v>
      </c>
      <c r="O99" s="62">
        <f>SUM(Tabela1345[[#This Row],[RAL 1023]:[Custom made colour (7% add price)]])</f>
        <v>0</v>
      </c>
      <c r="P99" s="62">
        <f>Tabela1345[[#This Row],[Weight (kg)]]*Tabela1345[[#This Row],[PCS]]</f>
        <v>0</v>
      </c>
      <c r="Q99" s="395" t="s">
        <v>2067</v>
      </c>
      <c r="R99" s="482"/>
      <c r="S99" s="486"/>
      <c r="T99" s="466"/>
      <c r="U99" s="435"/>
      <c r="V99" s="467"/>
      <c r="W99" s="468"/>
      <c r="X99" s="436"/>
      <c r="Y99" s="470"/>
      <c r="Z99" s="469"/>
      <c r="AA99" s="449"/>
      <c r="AB99" s="449"/>
      <c r="AC99" s="403"/>
      <c r="AE99" s="29"/>
      <c r="AF99" s="30"/>
      <c r="AG99" s="30"/>
      <c r="AH99" s="30"/>
      <c r="AI99" s="30"/>
    </row>
    <row r="100" spans="2:35" ht="12" customHeight="1" thickBot="1" x14ac:dyDescent="0.3">
      <c r="B100" s="29" t="s">
        <v>1739</v>
      </c>
      <c r="C100" s="92" t="s">
        <v>1624</v>
      </c>
      <c r="D100" s="204" t="s">
        <v>1242</v>
      </c>
      <c r="E100" s="48" t="s">
        <v>566</v>
      </c>
      <c r="F100" s="47">
        <v>2</v>
      </c>
      <c r="G100" s="224">
        <v>226</v>
      </c>
      <c r="H100" s="224">
        <f>ROUNDUP(Tabela1345[[#This Row],[PRICE]]*(1+PRICES!$C$4),0)</f>
        <v>272</v>
      </c>
      <c r="I100" s="175">
        <v>0.2</v>
      </c>
      <c r="J100" s="49">
        <f>Tabela1345[[#This Row],[PRICE]]*Tabela1345[[#This Row],[DISCOUNT per piece '[%']]]</f>
        <v>45.2</v>
      </c>
      <c r="K100" s="49">
        <f>Tabela1345[[#This Row],[PRICE]]*(1-Tabela1345[[#This Row],[DISCOUNT per piece '[%']]])</f>
        <v>180.8</v>
      </c>
      <c r="L100" s="178">
        <f>Tabela1345[[#This Row],[PCS]]*Tabela1345[[#This Row],[PROMOTIONAL PRICE]]</f>
        <v>0</v>
      </c>
      <c r="M100" s="497" cm="1">
        <f t="array" ref="M100">ROUNDUP(Tabela1345[[#This Row],[NEW PRICE]]*eurofxref_daily[],2)</f>
        <v>437.59999999999997</v>
      </c>
      <c r="N100" s="502">
        <f>Tabela1345[[#This Row],[CAD PRICE]]*O100</f>
        <v>0</v>
      </c>
      <c r="O100" s="62">
        <f>SUM(Tabela1345[[#This Row],[RAL 1023]:[Custom made colour (7% add price)]])</f>
        <v>0</v>
      </c>
      <c r="P100" s="62">
        <f>Tabela1345[[#This Row],[Weight (kg)]]*Tabela1345[[#This Row],[PCS]]</f>
        <v>0</v>
      </c>
      <c r="Q100" s="395" t="s">
        <v>2067</v>
      </c>
      <c r="R100" s="482"/>
      <c r="S100" s="486"/>
      <c r="T100" s="466"/>
      <c r="U100" s="435"/>
      <c r="V100" s="467"/>
      <c r="W100" s="468"/>
      <c r="X100" s="436"/>
      <c r="Y100" s="470"/>
      <c r="Z100" s="469"/>
      <c r="AA100" s="449"/>
      <c r="AB100" s="449"/>
      <c r="AC100" s="403"/>
      <c r="AE100" s="29"/>
      <c r="AF100" s="30"/>
      <c r="AG100" s="30"/>
      <c r="AH100" s="30"/>
      <c r="AI100" s="30"/>
    </row>
    <row r="101" spans="2:35" ht="12" customHeight="1" thickBot="1" x14ac:dyDescent="0.3">
      <c r="B101" s="29" t="s">
        <v>1740</v>
      </c>
      <c r="C101" s="92" t="s">
        <v>1625</v>
      </c>
      <c r="D101" s="204" t="s">
        <v>1243</v>
      </c>
      <c r="E101" s="48" t="s">
        <v>567</v>
      </c>
      <c r="F101" s="47">
        <v>2.6</v>
      </c>
      <c r="G101" s="224">
        <v>228</v>
      </c>
      <c r="H101" s="224">
        <f>ROUNDUP(Tabela1345[[#This Row],[PRICE]]*(1+PRICES!$C$4),0)</f>
        <v>274</v>
      </c>
      <c r="I101" s="175">
        <v>0.2</v>
      </c>
      <c r="J101" s="49">
        <f>Tabela1345[[#This Row],[PRICE]]*Tabela1345[[#This Row],[DISCOUNT per piece '[%']]]</f>
        <v>45.6</v>
      </c>
      <c r="K101" s="49">
        <f>Tabela1345[[#This Row],[PRICE]]*(1-Tabela1345[[#This Row],[DISCOUNT per piece '[%']]])</f>
        <v>182.4</v>
      </c>
      <c r="L101" s="178">
        <f>Tabela1345[[#This Row],[PCS]]*Tabela1345[[#This Row],[PROMOTIONAL PRICE]]</f>
        <v>0</v>
      </c>
      <c r="M101" s="497" cm="1">
        <f t="array" ref="M101">ROUNDUP(Tabela1345[[#This Row],[NEW PRICE]]*eurofxref_daily[],2)</f>
        <v>440.82</v>
      </c>
      <c r="N101" s="502">
        <f>Tabela1345[[#This Row],[CAD PRICE]]*O101</f>
        <v>0</v>
      </c>
      <c r="O101" s="62">
        <f>SUM(Tabela1345[[#This Row],[RAL 1023]:[Custom made colour (7% add price)]])</f>
        <v>0</v>
      </c>
      <c r="P101" s="62">
        <f>Tabela1345[[#This Row],[Weight (kg)]]*Tabela1345[[#This Row],[PCS]]</f>
        <v>0</v>
      </c>
      <c r="Q101" s="395" t="s">
        <v>2067</v>
      </c>
      <c r="R101" s="482"/>
      <c r="S101" s="486"/>
      <c r="T101" s="466"/>
      <c r="U101" s="435"/>
      <c r="V101" s="467"/>
      <c r="W101" s="468"/>
      <c r="X101" s="436"/>
      <c r="Y101" s="470"/>
      <c r="Z101" s="469"/>
      <c r="AA101" s="449"/>
      <c r="AB101" s="449"/>
      <c r="AC101" s="403"/>
      <c r="AE101" s="29"/>
      <c r="AF101" s="30"/>
      <c r="AG101" s="30"/>
      <c r="AH101" s="30"/>
      <c r="AI101" s="30"/>
    </row>
    <row r="102" spans="2:35" ht="12" customHeight="1" thickBot="1" x14ac:dyDescent="0.3">
      <c r="B102" s="29" t="s">
        <v>1741</v>
      </c>
      <c r="C102" s="92" t="s">
        <v>1626</v>
      </c>
      <c r="D102" s="204" t="s">
        <v>1244</v>
      </c>
      <c r="E102" s="48" t="s">
        <v>568</v>
      </c>
      <c r="F102" s="47">
        <v>1.8</v>
      </c>
      <c r="G102" s="224">
        <v>223</v>
      </c>
      <c r="H102" s="224">
        <f>ROUNDUP(Tabela1345[[#This Row],[PRICE]]*(1+PRICES!$C$4),0)</f>
        <v>268</v>
      </c>
      <c r="I102" s="175">
        <v>0.2</v>
      </c>
      <c r="J102" s="49">
        <f>Tabela1345[[#This Row],[PRICE]]*Tabela1345[[#This Row],[DISCOUNT per piece '[%']]]</f>
        <v>44.6</v>
      </c>
      <c r="K102" s="49">
        <f>Tabela1345[[#This Row],[PRICE]]*(1-Tabela1345[[#This Row],[DISCOUNT per piece '[%']]])</f>
        <v>178.4</v>
      </c>
      <c r="L102" s="178">
        <f>Tabela1345[[#This Row],[PCS]]*Tabela1345[[#This Row],[PROMOTIONAL PRICE]]</f>
        <v>0</v>
      </c>
      <c r="M102" s="497" cm="1">
        <f t="array" ref="M102">ROUNDUP(Tabela1345[[#This Row],[NEW PRICE]]*eurofxref_daily[],2)</f>
        <v>431.15999999999997</v>
      </c>
      <c r="N102" s="502">
        <f>Tabela1345[[#This Row],[CAD PRICE]]*O102</f>
        <v>0</v>
      </c>
      <c r="O102" s="62">
        <f>SUM(Tabela1345[[#This Row],[RAL 1023]:[Custom made colour (7% add price)]])</f>
        <v>0</v>
      </c>
      <c r="P102" s="62">
        <f>Tabela1345[[#This Row],[Weight (kg)]]*Tabela1345[[#This Row],[PCS]]</f>
        <v>0</v>
      </c>
      <c r="Q102" s="395" t="s">
        <v>2067</v>
      </c>
      <c r="R102" s="482"/>
      <c r="S102" s="486"/>
      <c r="T102" s="466"/>
      <c r="U102" s="435"/>
      <c r="V102" s="467"/>
      <c r="W102" s="468"/>
      <c r="X102" s="436"/>
      <c r="Y102" s="470"/>
      <c r="Z102" s="469"/>
      <c r="AA102" s="449"/>
      <c r="AB102" s="449"/>
      <c r="AC102" s="403"/>
      <c r="AE102" s="29"/>
      <c r="AF102" s="30"/>
      <c r="AG102" s="30"/>
      <c r="AH102" s="30"/>
      <c r="AI102" s="30"/>
    </row>
    <row r="103" spans="2:35" ht="12" customHeight="1" thickBot="1" x14ac:dyDescent="0.3">
      <c r="B103" s="29" t="s">
        <v>1742</v>
      </c>
      <c r="C103" s="92" t="s">
        <v>1627</v>
      </c>
      <c r="D103" s="204" t="s">
        <v>1245</v>
      </c>
      <c r="E103" s="48" t="s">
        <v>569</v>
      </c>
      <c r="F103" s="47">
        <v>2.9</v>
      </c>
      <c r="G103" s="224">
        <v>228</v>
      </c>
      <c r="H103" s="224">
        <f>ROUNDUP(Tabela1345[[#This Row],[PRICE]]*(1+PRICES!$C$4),0)</f>
        <v>274</v>
      </c>
      <c r="I103" s="175">
        <v>0.2</v>
      </c>
      <c r="J103" s="49">
        <f>Tabela1345[[#This Row],[PRICE]]*Tabela1345[[#This Row],[DISCOUNT per piece '[%']]]</f>
        <v>45.6</v>
      </c>
      <c r="K103" s="49">
        <f>Tabela1345[[#This Row],[PRICE]]*(1-Tabela1345[[#This Row],[DISCOUNT per piece '[%']]])</f>
        <v>182.4</v>
      </c>
      <c r="L103" s="178">
        <f>Tabela1345[[#This Row],[PCS]]*Tabela1345[[#This Row],[PROMOTIONAL PRICE]]</f>
        <v>0</v>
      </c>
      <c r="M103" s="497" cm="1">
        <f t="array" ref="M103">ROUNDUP(Tabela1345[[#This Row],[NEW PRICE]]*eurofxref_daily[],2)</f>
        <v>440.82</v>
      </c>
      <c r="N103" s="502">
        <f>Tabela1345[[#This Row],[CAD PRICE]]*O103</f>
        <v>0</v>
      </c>
      <c r="O103" s="62">
        <f>SUM(Tabela1345[[#This Row],[RAL 1023]:[Custom made colour (7% add price)]])</f>
        <v>0</v>
      </c>
      <c r="P103" s="62">
        <f>Tabela1345[[#This Row],[Weight (kg)]]*Tabela1345[[#This Row],[PCS]]</f>
        <v>0</v>
      </c>
      <c r="Q103" s="395" t="s">
        <v>2067</v>
      </c>
      <c r="R103" s="482"/>
      <c r="S103" s="486"/>
      <c r="T103" s="466"/>
      <c r="U103" s="435"/>
      <c r="V103" s="467"/>
      <c r="W103" s="468"/>
      <c r="X103" s="436"/>
      <c r="Y103" s="470"/>
      <c r="Z103" s="469"/>
      <c r="AA103" s="449"/>
      <c r="AB103" s="449"/>
      <c r="AC103" s="403"/>
      <c r="AE103" s="29"/>
      <c r="AF103" s="30"/>
      <c r="AG103" s="30"/>
      <c r="AH103" s="30"/>
      <c r="AI103" s="30"/>
    </row>
    <row r="104" spans="2:35" ht="12" customHeight="1" thickBot="1" x14ac:dyDescent="0.3">
      <c r="B104" s="122" t="s">
        <v>575</v>
      </c>
      <c r="C104" s="139" t="s">
        <v>1217</v>
      </c>
      <c r="D104" s="126"/>
      <c r="E104" s="124"/>
      <c r="F104" s="124"/>
      <c r="G104" s="358"/>
      <c r="H104" s="348"/>
      <c r="I104" s="124"/>
      <c r="J104" s="124"/>
      <c r="K104" s="124"/>
      <c r="L104" s="215"/>
      <c r="M104" s="124"/>
      <c r="N104" s="124"/>
      <c r="O104" s="124"/>
      <c r="P104" s="140"/>
      <c r="Q104" s="392"/>
      <c r="R104" s="399"/>
      <c r="S104" s="392"/>
      <c r="T104" s="399"/>
      <c r="U104" s="399"/>
      <c r="V104" s="399"/>
      <c r="W104" s="399"/>
      <c r="X104" s="399"/>
      <c r="Y104" s="399"/>
      <c r="Z104" s="461"/>
      <c r="AA104" s="461"/>
      <c r="AB104" s="461"/>
      <c r="AC104" s="80"/>
      <c r="AE104" s="29"/>
      <c r="AF104" s="30"/>
      <c r="AG104" s="30"/>
      <c r="AH104" s="30"/>
      <c r="AI104" s="30"/>
    </row>
    <row r="105" spans="2:35" ht="12" customHeight="1" thickBot="1" x14ac:dyDescent="0.3">
      <c r="B105" s="29" t="s">
        <v>586</v>
      </c>
      <c r="C105" s="92" t="s">
        <v>576</v>
      </c>
      <c r="D105" s="204" t="s">
        <v>1246</v>
      </c>
      <c r="E105" s="48" t="s">
        <v>596</v>
      </c>
      <c r="F105" s="47">
        <v>3.1</v>
      </c>
      <c r="G105" s="224">
        <v>197</v>
      </c>
      <c r="H105" s="224">
        <f>ROUNDUP(Tabela1345[[#This Row],[PRICE]]*(1+PRICES!$C$4),0)</f>
        <v>237</v>
      </c>
      <c r="I105" s="175">
        <v>0.15</v>
      </c>
      <c r="J105" s="49">
        <f>Tabela1345[[#This Row],[PRICE]]*Tabela1345[[#This Row],[DISCOUNT per piece '[%']]]</f>
        <v>29.549999999999997</v>
      </c>
      <c r="K105" s="49">
        <f>Tabela1345[[#This Row],[PRICE]]*(1-Tabela1345[[#This Row],[DISCOUNT per piece '[%']]])</f>
        <v>167.45</v>
      </c>
      <c r="L105" s="178">
        <f>Tabela1345[[#This Row],[PCS]]*Tabela1345[[#This Row],[PROMOTIONAL PRICE]]</f>
        <v>0</v>
      </c>
      <c r="M105" s="497" cm="1">
        <f t="array" ref="M105">ROUNDUP(Tabela1345[[#This Row],[NEW PRICE]]*eurofxref_daily[],2)</f>
        <v>381.28999999999996</v>
      </c>
      <c r="N105" s="502">
        <f>Tabela1345[[#This Row],[CAD PRICE]]*O105</f>
        <v>0</v>
      </c>
      <c r="O105" s="62">
        <f>SUM(Tabela1345[[#This Row],[RAL 1023]:[Custom made colour (7% add price)]])</f>
        <v>0</v>
      </c>
      <c r="P105" s="62">
        <f>Tabela1345[[#This Row],[Weight (kg)]]*Tabela1345[[#This Row],[PCS]]</f>
        <v>0</v>
      </c>
      <c r="Q105" s="393"/>
      <c r="R105" s="482"/>
      <c r="S105" s="486"/>
      <c r="T105" s="466"/>
      <c r="U105" s="435"/>
      <c r="V105" s="467"/>
      <c r="W105" s="468"/>
      <c r="X105" s="436"/>
      <c r="Y105" s="470"/>
      <c r="Z105" s="469"/>
      <c r="AA105" s="449"/>
      <c r="AB105" s="449"/>
      <c r="AC105" s="403"/>
      <c r="AE105" s="29"/>
      <c r="AF105" s="30"/>
      <c r="AG105" s="30"/>
      <c r="AH105" s="30"/>
      <c r="AI105" s="30"/>
    </row>
    <row r="106" spans="2:35" ht="12" customHeight="1" thickBot="1" x14ac:dyDescent="0.3">
      <c r="B106" s="29" t="s">
        <v>587</v>
      </c>
      <c r="C106" s="92" t="s">
        <v>577</v>
      </c>
      <c r="D106" s="204" t="s">
        <v>1247</v>
      </c>
      <c r="E106" s="48" t="s">
        <v>597</v>
      </c>
      <c r="F106" s="47">
        <v>2.7</v>
      </c>
      <c r="G106" s="224">
        <v>197</v>
      </c>
      <c r="H106" s="224">
        <f>ROUNDUP(Tabela1345[[#This Row],[PRICE]]*(1+PRICES!$C$4),0)</f>
        <v>237</v>
      </c>
      <c r="I106" s="175">
        <v>0.15</v>
      </c>
      <c r="J106" s="49">
        <f>Tabela1345[[#This Row],[PRICE]]*Tabela1345[[#This Row],[DISCOUNT per piece '[%']]]</f>
        <v>29.549999999999997</v>
      </c>
      <c r="K106" s="49">
        <f>Tabela1345[[#This Row],[PRICE]]*(1-Tabela1345[[#This Row],[DISCOUNT per piece '[%']]])</f>
        <v>167.45</v>
      </c>
      <c r="L106" s="178">
        <f>Tabela1345[[#This Row],[PCS]]*Tabela1345[[#This Row],[PROMOTIONAL PRICE]]</f>
        <v>0</v>
      </c>
      <c r="M106" s="497" cm="1">
        <f t="array" ref="M106">ROUNDUP(Tabela1345[[#This Row],[NEW PRICE]]*eurofxref_daily[],2)</f>
        <v>381.28999999999996</v>
      </c>
      <c r="N106" s="502">
        <f>Tabela1345[[#This Row],[CAD PRICE]]*O106</f>
        <v>0</v>
      </c>
      <c r="O106" s="62">
        <f>SUM(Tabela1345[[#This Row],[RAL 1023]:[Custom made colour (7% add price)]])</f>
        <v>0</v>
      </c>
      <c r="P106" s="62">
        <f>Tabela1345[[#This Row],[Weight (kg)]]*Tabela1345[[#This Row],[PCS]]</f>
        <v>0</v>
      </c>
      <c r="Q106" s="393"/>
      <c r="R106" s="482"/>
      <c r="S106" s="486"/>
      <c r="T106" s="466"/>
      <c r="U106" s="435"/>
      <c r="V106" s="467"/>
      <c r="W106" s="468"/>
      <c r="X106" s="436"/>
      <c r="Y106" s="470"/>
      <c r="Z106" s="469"/>
      <c r="AA106" s="449"/>
      <c r="AB106" s="449"/>
      <c r="AC106" s="403"/>
      <c r="AE106" s="29"/>
      <c r="AF106" s="30"/>
      <c r="AG106" s="30"/>
      <c r="AH106" s="30"/>
      <c r="AI106" s="30"/>
    </row>
    <row r="107" spans="2:35" ht="12" customHeight="1" thickBot="1" x14ac:dyDescent="0.3">
      <c r="B107" s="29" t="s">
        <v>588</v>
      </c>
      <c r="C107" s="92" t="s">
        <v>578</v>
      </c>
      <c r="D107" s="204" t="s">
        <v>1248</v>
      </c>
      <c r="E107" s="48" t="s">
        <v>598</v>
      </c>
      <c r="F107" s="47">
        <v>2.7</v>
      </c>
      <c r="G107" s="224">
        <v>186</v>
      </c>
      <c r="H107" s="224">
        <f>ROUNDUP(Tabela1345[[#This Row],[PRICE]]*(1+PRICES!$C$4),0)</f>
        <v>224</v>
      </c>
      <c r="I107" s="175">
        <v>0.15</v>
      </c>
      <c r="J107" s="49">
        <f>Tabela1345[[#This Row],[PRICE]]*Tabela1345[[#This Row],[DISCOUNT per piece '[%']]]</f>
        <v>27.9</v>
      </c>
      <c r="K107" s="49">
        <f>Tabela1345[[#This Row],[PRICE]]*(1-Tabela1345[[#This Row],[DISCOUNT per piece '[%']]])</f>
        <v>158.1</v>
      </c>
      <c r="L107" s="178">
        <f>Tabela1345[[#This Row],[PCS]]*Tabela1345[[#This Row],[PROMOTIONAL PRICE]]</f>
        <v>0</v>
      </c>
      <c r="M107" s="497" cm="1">
        <f t="array" ref="M107">ROUNDUP(Tabela1345[[#This Row],[NEW PRICE]]*eurofxref_daily[],2)</f>
        <v>360.38</v>
      </c>
      <c r="N107" s="502">
        <f>Tabela1345[[#This Row],[CAD PRICE]]*O107</f>
        <v>0</v>
      </c>
      <c r="O107" s="62">
        <f>SUM(Tabela1345[[#This Row],[RAL 1023]:[Custom made colour (7% add price)]])</f>
        <v>0</v>
      </c>
      <c r="P107" s="62">
        <f>Tabela1345[[#This Row],[Weight (kg)]]*Tabela1345[[#This Row],[PCS]]</f>
        <v>0</v>
      </c>
      <c r="Q107" s="393"/>
      <c r="R107" s="482"/>
      <c r="S107" s="486"/>
      <c r="T107" s="466"/>
      <c r="U107" s="435"/>
      <c r="V107" s="467"/>
      <c r="W107" s="468"/>
      <c r="X107" s="436"/>
      <c r="Y107" s="470"/>
      <c r="Z107" s="469"/>
      <c r="AA107" s="449"/>
      <c r="AB107" s="449"/>
      <c r="AC107" s="403"/>
      <c r="AE107" s="29"/>
      <c r="AF107" s="30"/>
      <c r="AG107" s="30"/>
      <c r="AH107" s="30"/>
      <c r="AI107" s="30"/>
    </row>
    <row r="108" spans="2:35" ht="12" customHeight="1" thickBot="1" x14ac:dyDescent="0.3">
      <c r="B108" s="29" t="s">
        <v>589</v>
      </c>
      <c r="C108" s="92" t="s">
        <v>579</v>
      </c>
      <c r="D108" s="204" t="s">
        <v>1249</v>
      </c>
      <c r="E108" s="48" t="s">
        <v>599</v>
      </c>
      <c r="F108" s="47">
        <v>3</v>
      </c>
      <c r="G108" s="224">
        <v>197</v>
      </c>
      <c r="H108" s="224">
        <f>ROUNDUP(Tabela1345[[#This Row],[PRICE]]*(1+PRICES!$C$4),0)</f>
        <v>237</v>
      </c>
      <c r="I108" s="175">
        <v>0.15</v>
      </c>
      <c r="J108" s="49">
        <f>Tabela1345[[#This Row],[PRICE]]*Tabela1345[[#This Row],[DISCOUNT per piece '[%']]]</f>
        <v>29.549999999999997</v>
      </c>
      <c r="K108" s="49">
        <f>Tabela1345[[#This Row],[PRICE]]*(1-Tabela1345[[#This Row],[DISCOUNT per piece '[%']]])</f>
        <v>167.45</v>
      </c>
      <c r="L108" s="178">
        <f>Tabela1345[[#This Row],[PCS]]*Tabela1345[[#This Row],[PROMOTIONAL PRICE]]</f>
        <v>0</v>
      </c>
      <c r="M108" s="497" cm="1">
        <f t="array" ref="M108">ROUNDUP(Tabela1345[[#This Row],[NEW PRICE]]*eurofxref_daily[],2)</f>
        <v>381.28999999999996</v>
      </c>
      <c r="N108" s="502">
        <f>Tabela1345[[#This Row],[CAD PRICE]]*O108</f>
        <v>0</v>
      </c>
      <c r="O108" s="62">
        <f>SUM(Tabela1345[[#This Row],[RAL 1023]:[Custom made colour (7% add price)]])</f>
        <v>0</v>
      </c>
      <c r="P108" s="62">
        <f>Tabela1345[[#This Row],[Weight (kg)]]*Tabela1345[[#This Row],[PCS]]</f>
        <v>0</v>
      </c>
      <c r="Q108" s="393"/>
      <c r="R108" s="482"/>
      <c r="S108" s="486"/>
      <c r="T108" s="466"/>
      <c r="U108" s="435"/>
      <c r="V108" s="467"/>
      <c r="W108" s="468"/>
      <c r="X108" s="436"/>
      <c r="Y108" s="470"/>
      <c r="Z108" s="469"/>
      <c r="AA108" s="449"/>
      <c r="AB108" s="449"/>
      <c r="AC108" s="403"/>
      <c r="AE108" s="29"/>
      <c r="AF108" s="30"/>
      <c r="AG108" s="30"/>
      <c r="AH108" s="30"/>
      <c r="AI108" s="30"/>
    </row>
    <row r="109" spans="2:35" ht="12" customHeight="1" thickBot="1" x14ac:dyDescent="0.3">
      <c r="B109" s="29" t="s">
        <v>590</v>
      </c>
      <c r="C109" s="92" t="s">
        <v>580</v>
      </c>
      <c r="D109" s="204" t="s">
        <v>1250</v>
      </c>
      <c r="E109" s="48" t="s">
        <v>600</v>
      </c>
      <c r="F109" s="47">
        <v>2.5</v>
      </c>
      <c r="G109" s="224">
        <v>181</v>
      </c>
      <c r="H109" s="224">
        <f>ROUNDUP(Tabela1345[[#This Row],[PRICE]]*(1+PRICES!$C$4),0)</f>
        <v>218</v>
      </c>
      <c r="I109" s="175">
        <v>0.15</v>
      </c>
      <c r="J109" s="49">
        <f>Tabela1345[[#This Row],[PRICE]]*Tabela1345[[#This Row],[DISCOUNT per piece '[%']]]</f>
        <v>27.15</v>
      </c>
      <c r="K109" s="49">
        <f>Tabela1345[[#This Row],[PRICE]]*(1-Tabela1345[[#This Row],[DISCOUNT per piece '[%']]])</f>
        <v>153.85</v>
      </c>
      <c r="L109" s="178">
        <f>Tabela1345[[#This Row],[PCS]]*Tabela1345[[#This Row],[PROMOTIONAL PRICE]]</f>
        <v>0</v>
      </c>
      <c r="M109" s="497" cm="1">
        <f t="array" ref="M109">ROUNDUP(Tabela1345[[#This Row],[NEW PRICE]]*eurofxref_daily[],2)</f>
        <v>350.71999999999997</v>
      </c>
      <c r="N109" s="502">
        <f>Tabela1345[[#This Row],[CAD PRICE]]*O109</f>
        <v>0</v>
      </c>
      <c r="O109" s="62">
        <f>SUM(Tabela1345[[#This Row],[RAL 1023]:[Custom made colour (7% add price)]])</f>
        <v>0</v>
      </c>
      <c r="P109" s="62">
        <f>Tabela1345[[#This Row],[Weight (kg)]]*Tabela1345[[#This Row],[PCS]]</f>
        <v>0</v>
      </c>
      <c r="Q109" s="393"/>
      <c r="R109" s="482"/>
      <c r="S109" s="486"/>
      <c r="T109" s="466"/>
      <c r="U109" s="435"/>
      <c r="V109" s="467"/>
      <c r="W109" s="468"/>
      <c r="X109" s="436"/>
      <c r="Y109" s="470"/>
      <c r="Z109" s="469"/>
      <c r="AA109" s="449"/>
      <c r="AB109" s="449"/>
      <c r="AC109" s="403"/>
      <c r="AE109" s="29"/>
      <c r="AF109" s="30"/>
      <c r="AG109" s="30"/>
      <c r="AH109" s="30"/>
      <c r="AI109" s="30"/>
    </row>
    <row r="110" spans="2:35" ht="12" customHeight="1" thickBot="1" x14ac:dyDescent="0.3">
      <c r="B110" s="29" t="s">
        <v>591</v>
      </c>
      <c r="C110" s="92" t="s">
        <v>581</v>
      </c>
      <c r="D110" s="204" t="s">
        <v>1251</v>
      </c>
      <c r="E110" s="48" t="s">
        <v>601</v>
      </c>
      <c r="F110" s="47">
        <v>2.7</v>
      </c>
      <c r="G110" s="224">
        <v>186</v>
      </c>
      <c r="H110" s="224">
        <f>ROUNDUP(Tabela1345[[#This Row],[PRICE]]*(1+PRICES!$C$4),0)</f>
        <v>224</v>
      </c>
      <c r="I110" s="175">
        <v>0.15</v>
      </c>
      <c r="J110" s="49">
        <f>Tabela1345[[#This Row],[PRICE]]*Tabela1345[[#This Row],[DISCOUNT per piece '[%']]]</f>
        <v>27.9</v>
      </c>
      <c r="K110" s="49">
        <f>Tabela1345[[#This Row],[PRICE]]*(1-Tabela1345[[#This Row],[DISCOUNT per piece '[%']]])</f>
        <v>158.1</v>
      </c>
      <c r="L110" s="178">
        <f>Tabela1345[[#This Row],[PCS]]*Tabela1345[[#This Row],[PROMOTIONAL PRICE]]</f>
        <v>0</v>
      </c>
      <c r="M110" s="497" cm="1">
        <f t="array" ref="M110">ROUNDUP(Tabela1345[[#This Row],[NEW PRICE]]*eurofxref_daily[],2)</f>
        <v>360.38</v>
      </c>
      <c r="N110" s="502">
        <f>Tabela1345[[#This Row],[CAD PRICE]]*O110</f>
        <v>0</v>
      </c>
      <c r="O110" s="62">
        <f>SUM(Tabela1345[[#This Row],[RAL 1023]:[Custom made colour (7% add price)]])</f>
        <v>0</v>
      </c>
      <c r="P110" s="62">
        <f>Tabela1345[[#This Row],[Weight (kg)]]*Tabela1345[[#This Row],[PCS]]</f>
        <v>0</v>
      </c>
      <c r="Q110" s="393"/>
      <c r="R110" s="482"/>
      <c r="S110" s="486"/>
      <c r="T110" s="466"/>
      <c r="U110" s="435"/>
      <c r="V110" s="467"/>
      <c r="W110" s="468"/>
      <c r="X110" s="436"/>
      <c r="Y110" s="470"/>
      <c r="Z110" s="469"/>
      <c r="AA110" s="449"/>
      <c r="AB110" s="449"/>
      <c r="AC110" s="403"/>
      <c r="AE110" s="29"/>
      <c r="AF110" s="30"/>
      <c r="AG110" s="30"/>
      <c r="AH110" s="30"/>
      <c r="AI110" s="30"/>
    </row>
    <row r="111" spans="2:35" ht="12" customHeight="1" thickBot="1" x14ac:dyDescent="0.3">
      <c r="B111" s="29" t="s">
        <v>592</v>
      </c>
      <c r="C111" s="92" t="s">
        <v>582</v>
      </c>
      <c r="D111" s="204" t="s">
        <v>1252</v>
      </c>
      <c r="E111" s="48" t="s">
        <v>602</v>
      </c>
      <c r="F111" s="47">
        <v>4.8</v>
      </c>
      <c r="G111" s="224">
        <v>255</v>
      </c>
      <c r="H111" s="224">
        <f>ROUNDUP(Tabela1345[[#This Row],[PRICE]]*(1+PRICES!$C$4),0)</f>
        <v>306</v>
      </c>
      <c r="I111" s="175">
        <v>0.15</v>
      </c>
      <c r="J111" s="49">
        <f>Tabela1345[[#This Row],[PRICE]]*Tabela1345[[#This Row],[DISCOUNT per piece '[%']]]</f>
        <v>38.25</v>
      </c>
      <c r="K111" s="49">
        <f>Tabela1345[[#This Row],[PRICE]]*(1-Tabela1345[[#This Row],[DISCOUNT per piece '[%']]])</f>
        <v>216.75</v>
      </c>
      <c r="L111" s="178">
        <f>Tabela1345[[#This Row],[PCS]]*Tabela1345[[#This Row],[PROMOTIONAL PRICE]]</f>
        <v>0</v>
      </c>
      <c r="M111" s="497" cm="1">
        <f t="array" ref="M111">ROUNDUP(Tabela1345[[#This Row],[NEW PRICE]]*eurofxref_daily[],2)</f>
        <v>492.3</v>
      </c>
      <c r="N111" s="502">
        <f>Tabela1345[[#This Row],[CAD PRICE]]*O111</f>
        <v>0</v>
      </c>
      <c r="O111" s="62">
        <f>SUM(Tabela1345[[#This Row],[RAL 1023]:[Custom made colour (7% add price)]])</f>
        <v>0</v>
      </c>
      <c r="P111" s="62">
        <f>Tabela1345[[#This Row],[Weight (kg)]]*Tabela1345[[#This Row],[PCS]]</f>
        <v>0</v>
      </c>
      <c r="Q111" s="393"/>
      <c r="R111" s="482"/>
      <c r="S111" s="486"/>
      <c r="T111" s="466"/>
      <c r="U111" s="435"/>
      <c r="V111" s="467"/>
      <c r="W111" s="468"/>
      <c r="X111" s="436"/>
      <c r="Y111" s="470"/>
      <c r="Z111" s="469"/>
      <c r="AA111" s="449"/>
      <c r="AB111" s="449"/>
      <c r="AC111" s="403"/>
      <c r="AE111" s="29"/>
      <c r="AF111" s="30"/>
      <c r="AG111" s="30"/>
      <c r="AH111" s="30"/>
      <c r="AI111" s="30"/>
    </row>
    <row r="112" spans="2:35" ht="12" customHeight="1" thickBot="1" x14ac:dyDescent="0.3">
      <c r="B112" s="29" t="s">
        <v>593</v>
      </c>
      <c r="C112" s="92" t="s">
        <v>583</v>
      </c>
      <c r="D112" s="204" t="s">
        <v>1253</v>
      </c>
      <c r="E112" s="48" t="s">
        <v>603</v>
      </c>
      <c r="F112" s="47">
        <v>3</v>
      </c>
      <c r="G112" s="224">
        <v>191</v>
      </c>
      <c r="H112" s="224">
        <f>ROUNDUP(Tabela1345[[#This Row],[PRICE]]*(1+PRICES!$C$4),0)</f>
        <v>230</v>
      </c>
      <c r="I112" s="175">
        <v>0.15</v>
      </c>
      <c r="J112" s="49">
        <f>Tabela1345[[#This Row],[PRICE]]*Tabela1345[[#This Row],[DISCOUNT per piece '[%']]]</f>
        <v>28.65</v>
      </c>
      <c r="K112" s="49">
        <f>Tabela1345[[#This Row],[PRICE]]*(1-Tabela1345[[#This Row],[DISCOUNT per piece '[%']]])</f>
        <v>162.35</v>
      </c>
      <c r="L112" s="178">
        <f>Tabela1345[[#This Row],[PCS]]*Tabela1345[[#This Row],[PROMOTIONAL PRICE]]</f>
        <v>0</v>
      </c>
      <c r="M112" s="497" cm="1">
        <f t="array" ref="M112">ROUNDUP(Tabela1345[[#This Row],[NEW PRICE]]*eurofxref_daily[],2)</f>
        <v>370.03</v>
      </c>
      <c r="N112" s="502">
        <f>Tabela1345[[#This Row],[CAD PRICE]]*O112</f>
        <v>0</v>
      </c>
      <c r="O112" s="62">
        <f>SUM(Tabela1345[[#This Row],[RAL 1023]:[Custom made colour (7% add price)]])</f>
        <v>0</v>
      </c>
      <c r="P112" s="62">
        <f>Tabela1345[[#This Row],[Weight (kg)]]*Tabela1345[[#This Row],[PCS]]</f>
        <v>0</v>
      </c>
      <c r="Q112" s="393"/>
      <c r="R112" s="482"/>
      <c r="S112" s="486"/>
      <c r="T112" s="466"/>
      <c r="U112" s="435"/>
      <c r="V112" s="467"/>
      <c r="W112" s="468"/>
      <c r="X112" s="436"/>
      <c r="Y112" s="470"/>
      <c r="Z112" s="469"/>
      <c r="AA112" s="449"/>
      <c r="AB112" s="449"/>
      <c r="AC112" s="403"/>
      <c r="AE112" s="29"/>
      <c r="AF112" s="30"/>
      <c r="AG112" s="30"/>
      <c r="AH112" s="30"/>
      <c r="AI112" s="30"/>
    </row>
    <row r="113" spans="2:35" ht="12" customHeight="1" thickBot="1" x14ac:dyDescent="0.3">
      <c r="B113" s="29" t="s">
        <v>594</v>
      </c>
      <c r="C113" s="92" t="s">
        <v>584</v>
      </c>
      <c r="D113" s="204" t="s">
        <v>1254</v>
      </c>
      <c r="E113" s="48" t="s">
        <v>604</v>
      </c>
      <c r="F113" s="47">
        <v>2.7</v>
      </c>
      <c r="G113" s="224">
        <v>191</v>
      </c>
      <c r="H113" s="224">
        <f>ROUNDUP(Tabela1345[[#This Row],[PRICE]]*(1+PRICES!$C$4),0)</f>
        <v>230</v>
      </c>
      <c r="I113" s="175">
        <v>0.15</v>
      </c>
      <c r="J113" s="49">
        <f>Tabela1345[[#This Row],[PRICE]]*Tabela1345[[#This Row],[DISCOUNT per piece '[%']]]</f>
        <v>28.65</v>
      </c>
      <c r="K113" s="49">
        <f>Tabela1345[[#This Row],[PRICE]]*(1-Tabela1345[[#This Row],[DISCOUNT per piece '[%']]])</f>
        <v>162.35</v>
      </c>
      <c r="L113" s="178">
        <f>Tabela1345[[#This Row],[PCS]]*Tabela1345[[#This Row],[PROMOTIONAL PRICE]]</f>
        <v>0</v>
      </c>
      <c r="M113" s="497" cm="1">
        <f t="array" ref="M113">ROUNDUP(Tabela1345[[#This Row],[NEW PRICE]]*eurofxref_daily[],2)</f>
        <v>370.03</v>
      </c>
      <c r="N113" s="502">
        <f>Tabela1345[[#This Row],[CAD PRICE]]*O113</f>
        <v>0</v>
      </c>
      <c r="O113" s="62">
        <f>SUM(Tabela1345[[#This Row],[RAL 1023]:[Custom made colour (7% add price)]])</f>
        <v>0</v>
      </c>
      <c r="P113" s="62">
        <f>Tabela1345[[#This Row],[Weight (kg)]]*Tabela1345[[#This Row],[PCS]]</f>
        <v>0</v>
      </c>
      <c r="Q113" s="393"/>
      <c r="R113" s="482"/>
      <c r="S113" s="486"/>
      <c r="T113" s="466"/>
      <c r="U113" s="435"/>
      <c r="V113" s="467"/>
      <c r="W113" s="468"/>
      <c r="X113" s="436"/>
      <c r="Y113" s="470"/>
      <c r="Z113" s="469"/>
      <c r="AA113" s="449"/>
      <c r="AB113" s="449"/>
      <c r="AC113" s="403"/>
      <c r="AE113" s="29"/>
      <c r="AF113" s="30"/>
      <c r="AG113" s="30"/>
      <c r="AH113" s="30"/>
      <c r="AI113" s="30"/>
    </row>
    <row r="114" spans="2:35" ht="12" customHeight="1" thickBot="1" x14ac:dyDescent="0.3">
      <c r="B114" s="29" t="s">
        <v>595</v>
      </c>
      <c r="C114" s="92" t="s">
        <v>585</v>
      </c>
      <c r="D114" s="204" t="s">
        <v>1255</v>
      </c>
      <c r="E114" s="48" t="s">
        <v>605</v>
      </c>
      <c r="F114" s="47">
        <v>3.4</v>
      </c>
      <c r="G114" s="224">
        <v>191</v>
      </c>
      <c r="H114" s="224">
        <f>ROUNDUP(Tabela1345[[#This Row],[PRICE]]*(1+PRICES!$C$4),0)</f>
        <v>230</v>
      </c>
      <c r="I114" s="175">
        <v>0.15</v>
      </c>
      <c r="J114" s="49">
        <f>Tabela1345[[#This Row],[PRICE]]*Tabela1345[[#This Row],[DISCOUNT per piece '[%']]]</f>
        <v>28.65</v>
      </c>
      <c r="K114" s="49">
        <f>Tabela1345[[#This Row],[PRICE]]*(1-Tabela1345[[#This Row],[DISCOUNT per piece '[%']]])</f>
        <v>162.35</v>
      </c>
      <c r="L114" s="178">
        <f>Tabela1345[[#This Row],[PCS]]*Tabela1345[[#This Row],[PROMOTIONAL PRICE]]</f>
        <v>0</v>
      </c>
      <c r="M114" s="497" cm="1">
        <f t="array" ref="M114">ROUNDUP(Tabela1345[[#This Row],[NEW PRICE]]*eurofxref_daily[],2)</f>
        <v>370.03</v>
      </c>
      <c r="N114" s="502">
        <f>Tabela1345[[#This Row],[CAD PRICE]]*O114</f>
        <v>0</v>
      </c>
      <c r="O114" s="62">
        <f>SUM(Tabela1345[[#This Row],[RAL 1023]:[Custom made colour (7% add price)]])</f>
        <v>0</v>
      </c>
      <c r="P114" s="62">
        <f>Tabela1345[[#This Row],[Weight (kg)]]*Tabela1345[[#This Row],[PCS]]</f>
        <v>0</v>
      </c>
      <c r="Q114" s="393"/>
      <c r="R114" s="482"/>
      <c r="S114" s="486"/>
      <c r="T114" s="466"/>
      <c r="U114" s="435"/>
      <c r="V114" s="467"/>
      <c r="W114" s="468"/>
      <c r="X114" s="436"/>
      <c r="Y114" s="470"/>
      <c r="Z114" s="469"/>
      <c r="AA114" s="449"/>
      <c r="AB114" s="449"/>
      <c r="AC114" s="403"/>
      <c r="AE114" s="29"/>
      <c r="AF114" s="30"/>
      <c r="AG114" s="30"/>
      <c r="AH114" s="30"/>
      <c r="AI114" s="30"/>
    </row>
    <row r="115" spans="2:35" ht="12" customHeight="1" thickBot="1" x14ac:dyDescent="0.3">
      <c r="B115" s="122" t="s">
        <v>606</v>
      </c>
      <c r="C115" s="139" t="s">
        <v>1218</v>
      </c>
      <c r="D115" s="126"/>
      <c r="E115" s="124"/>
      <c r="F115" s="124"/>
      <c r="G115" s="358"/>
      <c r="H115" s="348"/>
      <c r="I115" s="124"/>
      <c r="J115" s="124"/>
      <c r="K115" s="124"/>
      <c r="L115" s="215"/>
      <c r="M115" s="124"/>
      <c r="N115" s="124"/>
      <c r="O115" s="124"/>
      <c r="P115" s="140"/>
      <c r="Q115" s="392"/>
      <c r="R115" s="399"/>
      <c r="S115" s="392"/>
      <c r="T115" s="399"/>
      <c r="U115" s="399"/>
      <c r="V115" s="399"/>
      <c r="W115" s="399"/>
      <c r="X115" s="399"/>
      <c r="Y115" s="399"/>
      <c r="Z115" s="461"/>
      <c r="AA115" s="461"/>
      <c r="AB115" s="461"/>
      <c r="AC115" s="80"/>
      <c r="AE115" s="108"/>
      <c r="AF115" s="30"/>
      <c r="AG115" s="30"/>
      <c r="AH115" s="30"/>
      <c r="AI115" s="30"/>
    </row>
    <row r="116" spans="2:35" ht="12" customHeight="1" thickBot="1" x14ac:dyDescent="0.3">
      <c r="B116" s="29" t="s">
        <v>618</v>
      </c>
      <c r="C116" s="242" t="s">
        <v>607</v>
      </c>
      <c r="D116" s="204" t="s">
        <v>1256</v>
      </c>
      <c r="E116" s="48" t="s">
        <v>436</v>
      </c>
      <c r="F116" s="47">
        <v>1.1000000000000001</v>
      </c>
      <c r="G116" s="224">
        <v>202</v>
      </c>
      <c r="H116" s="224">
        <f>ROUNDUP(Tabela1345[[#This Row],[PRICE]]*(1+PRICES!$C$4),0)</f>
        <v>243</v>
      </c>
      <c r="I116" s="175">
        <v>0.15</v>
      </c>
      <c r="J116" s="49">
        <f>Tabela1345[[#This Row],[PRICE]]*Tabela1345[[#This Row],[DISCOUNT per piece '[%']]]</f>
        <v>30.299999999999997</v>
      </c>
      <c r="K116" s="49">
        <f>Tabela1345[[#This Row],[PRICE]]*(1-Tabela1345[[#This Row],[DISCOUNT per piece '[%']]])</f>
        <v>171.7</v>
      </c>
      <c r="L116" s="178">
        <f>Tabela1345[[#This Row],[PCS]]*Tabela1345[[#This Row],[PROMOTIONAL PRICE]]</f>
        <v>0</v>
      </c>
      <c r="M116" s="497" cm="1">
        <f t="array" ref="M116">ROUNDUP(Tabela1345[[#This Row],[NEW PRICE]]*eurofxref_daily[],2)</f>
        <v>390.94</v>
      </c>
      <c r="N116" s="502">
        <f>Tabela1345[[#This Row],[CAD PRICE]]*O116</f>
        <v>0</v>
      </c>
      <c r="O116" s="62">
        <f>SUM(Tabela1345[[#This Row],[RAL 1023]:[Custom made colour (7% add price)]])</f>
        <v>0</v>
      </c>
      <c r="P116" s="62">
        <f>Tabela1345[[#This Row],[Weight (kg)]]*Tabela1345[[#This Row],[PCS]]</f>
        <v>0</v>
      </c>
      <c r="Q116" s="393"/>
      <c r="R116" s="482"/>
      <c r="S116" s="486"/>
      <c r="T116" s="466"/>
      <c r="U116" s="435"/>
      <c r="V116" s="467"/>
      <c r="W116" s="468"/>
      <c r="X116" s="436"/>
      <c r="Y116" s="470"/>
      <c r="Z116" s="469"/>
      <c r="AA116" s="449"/>
      <c r="AB116" s="449"/>
      <c r="AC116" s="403"/>
      <c r="AE116" s="29"/>
      <c r="AF116" s="30"/>
      <c r="AG116" s="30"/>
      <c r="AH116" s="30"/>
      <c r="AI116" s="30"/>
    </row>
    <row r="117" spans="2:35" ht="12" customHeight="1" thickBot="1" x14ac:dyDescent="0.3">
      <c r="B117" s="29" t="s">
        <v>620</v>
      </c>
      <c r="C117" s="242" t="s">
        <v>608</v>
      </c>
      <c r="D117" s="204" t="s">
        <v>1257</v>
      </c>
      <c r="E117" s="48" t="s">
        <v>437</v>
      </c>
      <c r="F117" s="47">
        <v>1.9</v>
      </c>
      <c r="G117" s="224">
        <v>207</v>
      </c>
      <c r="H117" s="224">
        <f>ROUNDUP(Tabela1345[[#This Row],[PRICE]]*(1+PRICES!$C$4),0)</f>
        <v>249</v>
      </c>
      <c r="I117" s="175">
        <v>0.15</v>
      </c>
      <c r="J117" s="49">
        <f>Tabela1345[[#This Row],[PRICE]]*Tabela1345[[#This Row],[DISCOUNT per piece '[%']]]</f>
        <v>31.049999999999997</v>
      </c>
      <c r="K117" s="49">
        <f>Tabela1345[[#This Row],[PRICE]]*(1-Tabela1345[[#This Row],[DISCOUNT per piece '[%']]])</f>
        <v>175.95</v>
      </c>
      <c r="L117" s="178">
        <f>Tabela1345[[#This Row],[PCS]]*Tabela1345[[#This Row],[PROMOTIONAL PRICE]]</f>
        <v>0</v>
      </c>
      <c r="M117" s="497" cm="1">
        <f t="array" ref="M117">ROUNDUP(Tabela1345[[#This Row],[NEW PRICE]]*eurofxref_daily[],2)</f>
        <v>400.59999999999997</v>
      </c>
      <c r="N117" s="502">
        <f>Tabela1345[[#This Row],[CAD PRICE]]*O117</f>
        <v>0</v>
      </c>
      <c r="O117" s="62">
        <f>SUM(Tabela1345[[#This Row],[RAL 1023]:[Custom made colour (7% add price)]])</f>
        <v>0</v>
      </c>
      <c r="P117" s="62">
        <f>Tabela1345[[#This Row],[Weight (kg)]]*Tabela1345[[#This Row],[PCS]]</f>
        <v>0</v>
      </c>
      <c r="Q117" s="393"/>
      <c r="R117" s="482"/>
      <c r="S117" s="486"/>
      <c r="T117" s="466"/>
      <c r="U117" s="435"/>
      <c r="V117" s="467"/>
      <c r="W117" s="468"/>
      <c r="X117" s="436"/>
      <c r="Y117" s="470"/>
      <c r="Z117" s="469"/>
      <c r="AA117" s="449"/>
      <c r="AB117" s="449"/>
      <c r="AC117" s="403"/>
      <c r="AE117" s="29"/>
      <c r="AF117" s="30"/>
      <c r="AG117" s="30"/>
      <c r="AH117" s="30"/>
      <c r="AI117" s="30"/>
    </row>
    <row r="118" spans="2:35" ht="12" customHeight="1" thickBot="1" x14ac:dyDescent="0.3">
      <c r="B118" s="29" t="s">
        <v>622</v>
      </c>
      <c r="C118" s="242" t="s">
        <v>609</v>
      </c>
      <c r="D118" s="204" t="s">
        <v>1258</v>
      </c>
      <c r="E118" s="48" t="s">
        <v>438</v>
      </c>
      <c r="F118" s="47">
        <v>1.4</v>
      </c>
      <c r="G118" s="224">
        <v>202</v>
      </c>
      <c r="H118" s="224">
        <f>ROUNDUP(Tabela1345[[#This Row],[PRICE]]*(1+PRICES!$C$4),0)</f>
        <v>243</v>
      </c>
      <c r="I118" s="175">
        <v>0.15</v>
      </c>
      <c r="J118" s="49">
        <f>Tabela1345[[#This Row],[PRICE]]*Tabela1345[[#This Row],[DISCOUNT per piece '[%']]]</f>
        <v>30.299999999999997</v>
      </c>
      <c r="K118" s="49">
        <f>Tabela1345[[#This Row],[PRICE]]*(1-Tabela1345[[#This Row],[DISCOUNT per piece '[%']]])</f>
        <v>171.7</v>
      </c>
      <c r="L118" s="178">
        <f>Tabela1345[[#This Row],[PCS]]*Tabela1345[[#This Row],[PROMOTIONAL PRICE]]</f>
        <v>0</v>
      </c>
      <c r="M118" s="497" cm="1">
        <f t="array" ref="M118">ROUNDUP(Tabela1345[[#This Row],[NEW PRICE]]*eurofxref_daily[],2)</f>
        <v>390.94</v>
      </c>
      <c r="N118" s="502">
        <f>Tabela1345[[#This Row],[CAD PRICE]]*O118</f>
        <v>0</v>
      </c>
      <c r="O118" s="62">
        <f>SUM(Tabela1345[[#This Row],[RAL 1023]:[Custom made colour (7% add price)]])</f>
        <v>0</v>
      </c>
      <c r="P118" s="62">
        <f>Tabela1345[[#This Row],[Weight (kg)]]*Tabela1345[[#This Row],[PCS]]</f>
        <v>0</v>
      </c>
      <c r="Q118" s="393"/>
      <c r="R118" s="482"/>
      <c r="S118" s="486"/>
      <c r="T118" s="466"/>
      <c r="U118" s="435"/>
      <c r="V118" s="467"/>
      <c r="W118" s="468"/>
      <c r="X118" s="436"/>
      <c r="Y118" s="470"/>
      <c r="Z118" s="469"/>
      <c r="AA118" s="449"/>
      <c r="AB118" s="449"/>
      <c r="AC118" s="403"/>
      <c r="AE118" s="29"/>
      <c r="AF118" s="30"/>
      <c r="AG118" s="30"/>
      <c r="AH118" s="30"/>
      <c r="AI118" s="30"/>
    </row>
    <row r="119" spans="2:35" ht="12" customHeight="1" thickBot="1" x14ac:dyDescent="0.3">
      <c r="B119" s="29" t="s">
        <v>624</v>
      </c>
      <c r="C119" s="242" t="s">
        <v>610</v>
      </c>
      <c r="D119" s="204" t="s">
        <v>1259</v>
      </c>
      <c r="E119" s="48" t="s">
        <v>439</v>
      </c>
      <c r="F119" s="47">
        <v>1.6</v>
      </c>
      <c r="G119" s="224">
        <v>202</v>
      </c>
      <c r="H119" s="224">
        <f>ROUNDUP(Tabela1345[[#This Row],[PRICE]]*(1+PRICES!$C$4),0)</f>
        <v>243</v>
      </c>
      <c r="I119" s="175">
        <v>0.15</v>
      </c>
      <c r="J119" s="49">
        <f>Tabela1345[[#This Row],[PRICE]]*Tabela1345[[#This Row],[DISCOUNT per piece '[%']]]</f>
        <v>30.299999999999997</v>
      </c>
      <c r="K119" s="49">
        <f>Tabela1345[[#This Row],[PRICE]]*(1-Tabela1345[[#This Row],[DISCOUNT per piece '[%']]])</f>
        <v>171.7</v>
      </c>
      <c r="L119" s="178">
        <f>Tabela1345[[#This Row],[PCS]]*Tabela1345[[#This Row],[PROMOTIONAL PRICE]]</f>
        <v>0</v>
      </c>
      <c r="M119" s="497" cm="1">
        <f t="array" ref="M119">ROUNDUP(Tabela1345[[#This Row],[NEW PRICE]]*eurofxref_daily[],2)</f>
        <v>390.94</v>
      </c>
      <c r="N119" s="502">
        <f>Tabela1345[[#This Row],[CAD PRICE]]*O119</f>
        <v>0</v>
      </c>
      <c r="O119" s="62">
        <f>SUM(Tabela1345[[#This Row],[RAL 1023]:[Custom made colour (7% add price)]])</f>
        <v>0</v>
      </c>
      <c r="P119" s="62">
        <f>Tabela1345[[#This Row],[Weight (kg)]]*Tabela1345[[#This Row],[PCS]]</f>
        <v>0</v>
      </c>
      <c r="Q119" s="393"/>
      <c r="R119" s="482"/>
      <c r="S119" s="486"/>
      <c r="T119" s="466"/>
      <c r="U119" s="435"/>
      <c r="V119" s="467"/>
      <c r="W119" s="468"/>
      <c r="X119" s="436"/>
      <c r="Y119" s="470"/>
      <c r="Z119" s="469"/>
      <c r="AA119" s="449"/>
      <c r="AB119" s="449"/>
      <c r="AC119" s="403"/>
      <c r="AE119" s="29"/>
      <c r="AF119" s="30"/>
      <c r="AG119" s="30"/>
      <c r="AH119" s="30"/>
      <c r="AI119" s="30"/>
    </row>
    <row r="120" spans="2:35" ht="12" customHeight="1" thickBot="1" x14ac:dyDescent="0.3">
      <c r="B120" s="29" t="s">
        <v>626</v>
      </c>
      <c r="C120" s="242" t="s">
        <v>611</v>
      </c>
      <c r="D120" s="204" t="s">
        <v>1260</v>
      </c>
      <c r="E120" s="48" t="s">
        <v>440</v>
      </c>
      <c r="F120" s="47">
        <v>1.9</v>
      </c>
      <c r="G120" s="224">
        <v>207</v>
      </c>
      <c r="H120" s="224">
        <f>ROUNDUP(Tabela1345[[#This Row],[PRICE]]*(1+PRICES!$C$4),0)</f>
        <v>249</v>
      </c>
      <c r="I120" s="175">
        <v>0.15</v>
      </c>
      <c r="J120" s="49">
        <f>Tabela1345[[#This Row],[PRICE]]*Tabela1345[[#This Row],[DISCOUNT per piece '[%']]]</f>
        <v>31.049999999999997</v>
      </c>
      <c r="K120" s="49">
        <f>Tabela1345[[#This Row],[PRICE]]*(1-Tabela1345[[#This Row],[DISCOUNT per piece '[%']]])</f>
        <v>175.95</v>
      </c>
      <c r="L120" s="178">
        <f>Tabela1345[[#This Row],[PCS]]*Tabela1345[[#This Row],[PROMOTIONAL PRICE]]</f>
        <v>0</v>
      </c>
      <c r="M120" s="497" cm="1">
        <f t="array" ref="M120">ROUNDUP(Tabela1345[[#This Row],[NEW PRICE]]*eurofxref_daily[],2)</f>
        <v>400.59999999999997</v>
      </c>
      <c r="N120" s="502">
        <f>Tabela1345[[#This Row],[CAD PRICE]]*O120</f>
        <v>0</v>
      </c>
      <c r="O120" s="62">
        <f>SUM(Tabela1345[[#This Row],[RAL 1023]:[Custom made colour (7% add price)]])</f>
        <v>0</v>
      </c>
      <c r="P120" s="62">
        <f>Tabela1345[[#This Row],[Weight (kg)]]*Tabela1345[[#This Row],[PCS]]</f>
        <v>0</v>
      </c>
      <c r="Q120" s="393"/>
      <c r="R120" s="482"/>
      <c r="S120" s="486"/>
      <c r="T120" s="466"/>
      <c r="U120" s="435"/>
      <c r="V120" s="467"/>
      <c r="W120" s="468"/>
      <c r="X120" s="436"/>
      <c r="Y120" s="470"/>
      <c r="Z120" s="469"/>
      <c r="AA120" s="449"/>
      <c r="AB120" s="449"/>
      <c r="AC120" s="403"/>
      <c r="AE120" s="29"/>
      <c r="AF120" s="30"/>
      <c r="AG120" s="30"/>
      <c r="AH120" s="30"/>
      <c r="AI120" s="30"/>
    </row>
    <row r="121" spans="2:35" ht="12" customHeight="1" thickBot="1" x14ac:dyDescent="0.3">
      <c r="B121" s="29" t="s">
        <v>628</v>
      </c>
      <c r="C121" s="242" t="s">
        <v>612</v>
      </c>
      <c r="D121" s="204" t="s">
        <v>1261</v>
      </c>
      <c r="E121" s="48" t="s">
        <v>441</v>
      </c>
      <c r="F121" s="47">
        <v>3.1</v>
      </c>
      <c r="G121" s="224">
        <v>218</v>
      </c>
      <c r="H121" s="224">
        <f>ROUNDUP(Tabela1345[[#This Row],[PRICE]]*(1+PRICES!$C$4),0)</f>
        <v>262</v>
      </c>
      <c r="I121" s="175">
        <v>0.15</v>
      </c>
      <c r="J121" s="49">
        <f>Tabela1345[[#This Row],[PRICE]]*Tabela1345[[#This Row],[DISCOUNT per piece '[%']]]</f>
        <v>32.699999999999996</v>
      </c>
      <c r="K121" s="49">
        <f>Tabela1345[[#This Row],[PRICE]]*(1-Tabela1345[[#This Row],[DISCOUNT per piece '[%']]])</f>
        <v>185.29999999999998</v>
      </c>
      <c r="L121" s="178">
        <f>Tabela1345[[#This Row],[PCS]]*Tabela1345[[#This Row],[PROMOTIONAL PRICE]]</f>
        <v>0</v>
      </c>
      <c r="M121" s="497" cm="1">
        <f t="array" ref="M121">ROUNDUP(Tabela1345[[#This Row],[NEW PRICE]]*eurofxref_daily[],2)</f>
        <v>421.51</v>
      </c>
      <c r="N121" s="502">
        <f>Tabela1345[[#This Row],[CAD PRICE]]*O121</f>
        <v>0</v>
      </c>
      <c r="O121" s="62">
        <f>SUM(Tabela1345[[#This Row],[RAL 1023]:[Custom made colour (7% add price)]])</f>
        <v>0</v>
      </c>
      <c r="P121" s="62">
        <f>Tabela1345[[#This Row],[Weight (kg)]]*Tabela1345[[#This Row],[PCS]]</f>
        <v>0</v>
      </c>
      <c r="Q121" s="393"/>
      <c r="R121" s="482"/>
      <c r="S121" s="486"/>
      <c r="T121" s="466"/>
      <c r="U121" s="435"/>
      <c r="V121" s="467"/>
      <c r="W121" s="468"/>
      <c r="X121" s="436"/>
      <c r="Y121" s="470"/>
      <c r="Z121" s="469"/>
      <c r="AA121" s="449"/>
      <c r="AB121" s="449"/>
      <c r="AC121" s="403"/>
      <c r="AE121" s="29"/>
      <c r="AF121" s="30"/>
      <c r="AG121" s="30"/>
      <c r="AH121" s="30"/>
      <c r="AI121" s="30"/>
    </row>
    <row r="122" spans="2:35" ht="12" customHeight="1" thickBot="1" x14ac:dyDescent="0.3">
      <c r="B122" s="29" t="s">
        <v>630</v>
      </c>
      <c r="C122" s="242" t="s">
        <v>613</v>
      </c>
      <c r="D122" s="204" t="s">
        <v>1262</v>
      </c>
      <c r="E122" s="48" t="s">
        <v>442</v>
      </c>
      <c r="F122" s="47">
        <v>2.8</v>
      </c>
      <c r="G122" s="224">
        <v>218</v>
      </c>
      <c r="H122" s="224">
        <f>ROUNDUP(Tabela1345[[#This Row],[PRICE]]*(1+PRICES!$C$4),0)</f>
        <v>262</v>
      </c>
      <c r="I122" s="175">
        <v>0.15</v>
      </c>
      <c r="J122" s="49">
        <f>Tabela1345[[#This Row],[PRICE]]*Tabela1345[[#This Row],[DISCOUNT per piece '[%']]]</f>
        <v>32.699999999999996</v>
      </c>
      <c r="K122" s="49">
        <f>Tabela1345[[#This Row],[PRICE]]*(1-Tabela1345[[#This Row],[DISCOUNT per piece '[%']]])</f>
        <v>185.29999999999998</v>
      </c>
      <c r="L122" s="178">
        <f>Tabela1345[[#This Row],[PCS]]*Tabela1345[[#This Row],[PROMOTIONAL PRICE]]</f>
        <v>0</v>
      </c>
      <c r="M122" s="497" cm="1">
        <f t="array" ref="M122">ROUNDUP(Tabela1345[[#This Row],[NEW PRICE]]*eurofxref_daily[],2)</f>
        <v>421.51</v>
      </c>
      <c r="N122" s="502">
        <f>Tabela1345[[#This Row],[CAD PRICE]]*O122</f>
        <v>0</v>
      </c>
      <c r="O122" s="62">
        <f>SUM(Tabela1345[[#This Row],[RAL 1023]:[Custom made colour (7% add price)]])</f>
        <v>0</v>
      </c>
      <c r="P122" s="62">
        <f>Tabela1345[[#This Row],[Weight (kg)]]*Tabela1345[[#This Row],[PCS]]</f>
        <v>0</v>
      </c>
      <c r="Q122" s="393"/>
      <c r="R122" s="482"/>
      <c r="S122" s="486"/>
      <c r="T122" s="466"/>
      <c r="U122" s="435"/>
      <c r="V122" s="467"/>
      <c r="W122" s="468"/>
      <c r="X122" s="436"/>
      <c r="Y122" s="470"/>
      <c r="Z122" s="469"/>
      <c r="AA122" s="449"/>
      <c r="AB122" s="449"/>
      <c r="AC122" s="403"/>
      <c r="AE122" s="29"/>
      <c r="AF122" s="30"/>
      <c r="AG122" s="30"/>
      <c r="AH122" s="30"/>
      <c r="AI122" s="30"/>
    </row>
    <row r="123" spans="2:35" ht="12" customHeight="1" thickBot="1" x14ac:dyDescent="0.3">
      <c r="B123" s="29" t="s">
        <v>632</v>
      </c>
      <c r="C123" s="242" t="s">
        <v>614</v>
      </c>
      <c r="D123" s="204" t="s">
        <v>1263</v>
      </c>
      <c r="E123" s="48" t="s">
        <v>443</v>
      </c>
      <c r="F123" s="47">
        <v>3.4</v>
      </c>
      <c r="G123" s="224">
        <v>218</v>
      </c>
      <c r="H123" s="224">
        <f>ROUNDUP(Tabela1345[[#This Row],[PRICE]]*(1+PRICES!$C$4),0)</f>
        <v>262</v>
      </c>
      <c r="I123" s="175">
        <v>0.15</v>
      </c>
      <c r="J123" s="49">
        <f>Tabela1345[[#This Row],[PRICE]]*Tabela1345[[#This Row],[DISCOUNT per piece '[%']]]</f>
        <v>32.699999999999996</v>
      </c>
      <c r="K123" s="49">
        <f>Tabela1345[[#This Row],[PRICE]]*(1-Tabela1345[[#This Row],[DISCOUNT per piece '[%']]])</f>
        <v>185.29999999999998</v>
      </c>
      <c r="L123" s="178">
        <f>Tabela1345[[#This Row],[PCS]]*Tabela1345[[#This Row],[PROMOTIONAL PRICE]]</f>
        <v>0</v>
      </c>
      <c r="M123" s="497" cm="1">
        <f t="array" ref="M123">ROUNDUP(Tabela1345[[#This Row],[NEW PRICE]]*eurofxref_daily[],2)</f>
        <v>421.51</v>
      </c>
      <c r="N123" s="502">
        <f>Tabela1345[[#This Row],[CAD PRICE]]*O123</f>
        <v>0</v>
      </c>
      <c r="O123" s="62">
        <f>SUM(Tabela1345[[#This Row],[RAL 1023]:[Custom made colour (7% add price)]])</f>
        <v>0</v>
      </c>
      <c r="P123" s="62">
        <f>Tabela1345[[#This Row],[Weight (kg)]]*Tabela1345[[#This Row],[PCS]]</f>
        <v>0</v>
      </c>
      <c r="Q123" s="393"/>
      <c r="R123" s="482"/>
      <c r="S123" s="486"/>
      <c r="T123" s="466"/>
      <c r="U123" s="435"/>
      <c r="V123" s="467"/>
      <c r="W123" s="468"/>
      <c r="X123" s="436"/>
      <c r="Y123" s="470"/>
      <c r="Z123" s="469"/>
      <c r="AA123" s="449"/>
      <c r="AB123" s="449"/>
      <c r="AC123" s="403"/>
      <c r="AE123" s="29"/>
      <c r="AF123" s="30"/>
      <c r="AG123" s="30"/>
      <c r="AH123" s="30"/>
      <c r="AI123" s="30"/>
    </row>
    <row r="124" spans="2:35" ht="12" customHeight="1" thickBot="1" x14ac:dyDescent="0.3">
      <c r="B124" s="29" t="s">
        <v>634</v>
      </c>
      <c r="C124" s="242" t="s">
        <v>615</v>
      </c>
      <c r="D124" s="204" t="s">
        <v>1264</v>
      </c>
      <c r="E124" s="48" t="s">
        <v>444</v>
      </c>
      <c r="F124" s="47">
        <v>2.42</v>
      </c>
      <c r="G124" s="224">
        <v>218</v>
      </c>
      <c r="H124" s="224">
        <f>ROUNDUP(Tabela1345[[#This Row],[PRICE]]*(1+PRICES!$C$4),0)</f>
        <v>262</v>
      </c>
      <c r="I124" s="175">
        <v>0.15</v>
      </c>
      <c r="J124" s="49">
        <f>Tabela1345[[#This Row],[PRICE]]*Tabela1345[[#This Row],[DISCOUNT per piece '[%']]]</f>
        <v>32.699999999999996</v>
      </c>
      <c r="K124" s="49">
        <f>Tabela1345[[#This Row],[PRICE]]*(1-Tabela1345[[#This Row],[DISCOUNT per piece '[%']]])</f>
        <v>185.29999999999998</v>
      </c>
      <c r="L124" s="178">
        <f>Tabela1345[[#This Row],[PCS]]*Tabela1345[[#This Row],[PROMOTIONAL PRICE]]</f>
        <v>0</v>
      </c>
      <c r="M124" s="497" cm="1">
        <f t="array" ref="M124">ROUNDUP(Tabela1345[[#This Row],[NEW PRICE]]*eurofxref_daily[],2)</f>
        <v>421.51</v>
      </c>
      <c r="N124" s="502">
        <f>Tabela1345[[#This Row],[CAD PRICE]]*O124</f>
        <v>0</v>
      </c>
      <c r="O124" s="62">
        <f>SUM(Tabela1345[[#This Row],[RAL 1023]:[Custom made colour (7% add price)]])</f>
        <v>0</v>
      </c>
      <c r="P124" s="62">
        <f>Tabela1345[[#This Row],[Weight (kg)]]*Tabela1345[[#This Row],[PCS]]</f>
        <v>0</v>
      </c>
      <c r="Q124" s="393"/>
      <c r="R124" s="482"/>
      <c r="S124" s="486"/>
      <c r="T124" s="466"/>
      <c r="U124" s="435"/>
      <c r="V124" s="467"/>
      <c r="W124" s="468"/>
      <c r="X124" s="436"/>
      <c r="Y124" s="470"/>
      <c r="Z124" s="469"/>
      <c r="AA124" s="449"/>
      <c r="AB124" s="449"/>
      <c r="AC124" s="403"/>
      <c r="AE124" s="29"/>
      <c r="AF124" s="30"/>
      <c r="AG124" s="30"/>
      <c r="AH124" s="30"/>
      <c r="AI124" s="30"/>
    </row>
    <row r="125" spans="2:35" ht="12" customHeight="1" thickBot="1" x14ac:dyDescent="0.3">
      <c r="B125" s="29" t="s">
        <v>636</v>
      </c>
      <c r="C125" s="242" t="s">
        <v>616</v>
      </c>
      <c r="D125" s="204" t="s">
        <v>1265</v>
      </c>
      <c r="E125" s="48" t="s">
        <v>445</v>
      </c>
      <c r="F125" s="47">
        <v>2.8</v>
      </c>
      <c r="G125" s="224">
        <v>218</v>
      </c>
      <c r="H125" s="224">
        <f>ROUNDUP(Tabela1345[[#This Row],[PRICE]]*(1+PRICES!$C$4),0)</f>
        <v>262</v>
      </c>
      <c r="I125" s="175">
        <v>0.15</v>
      </c>
      <c r="J125" s="49">
        <f>Tabela1345[[#This Row],[PRICE]]*Tabela1345[[#This Row],[DISCOUNT per piece '[%']]]</f>
        <v>32.699999999999996</v>
      </c>
      <c r="K125" s="49">
        <f>Tabela1345[[#This Row],[PRICE]]*(1-Tabela1345[[#This Row],[DISCOUNT per piece '[%']]])</f>
        <v>185.29999999999998</v>
      </c>
      <c r="L125" s="178">
        <f>Tabela1345[[#This Row],[PCS]]*Tabela1345[[#This Row],[PROMOTIONAL PRICE]]</f>
        <v>0</v>
      </c>
      <c r="M125" s="497" cm="1">
        <f t="array" ref="M125">ROUNDUP(Tabela1345[[#This Row],[NEW PRICE]]*eurofxref_daily[],2)</f>
        <v>421.51</v>
      </c>
      <c r="N125" s="502">
        <f>Tabela1345[[#This Row],[CAD PRICE]]*O125</f>
        <v>0</v>
      </c>
      <c r="O125" s="62">
        <f>SUM(Tabela1345[[#This Row],[RAL 1023]:[Custom made colour (7% add price)]])</f>
        <v>0</v>
      </c>
      <c r="P125" s="62">
        <f>Tabela1345[[#This Row],[Weight (kg)]]*Tabela1345[[#This Row],[PCS]]</f>
        <v>0</v>
      </c>
      <c r="Q125" s="393"/>
      <c r="R125" s="482"/>
      <c r="S125" s="486"/>
      <c r="T125" s="466"/>
      <c r="U125" s="435"/>
      <c r="V125" s="467"/>
      <c r="W125" s="468"/>
      <c r="X125" s="436"/>
      <c r="Y125" s="470"/>
      <c r="Z125" s="469"/>
      <c r="AA125" s="449"/>
      <c r="AB125" s="449"/>
      <c r="AC125" s="403"/>
      <c r="AE125" s="29"/>
      <c r="AF125" s="30"/>
      <c r="AG125" s="30"/>
      <c r="AH125" s="30"/>
      <c r="AI125" s="30"/>
    </row>
    <row r="126" spans="2:35" ht="12" customHeight="1" thickBot="1" x14ac:dyDescent="0.3">
      <c r="B126" s="122" t="s">
        <v>606</v>
      </c>
      <c r="C126" s="139" t="s">
        <v>1343</v>
      </c>
      <c r="D126" s="126"/>
      <c r="E126" s="124"/>
      <c r="F126" s="124"/>
      <c r="G126" s="358"/>
      <c r="H126" s="348"/>
      <c r="I126" s="124"/>
      <c r="J126" s="124"/>
      <c r="K126" s="124"/>
      <c r="L126" s="215"/>
      <c r="M126" s="124"/>
      <c r="N126" s="124"/>
      <c r="O126" s="124"/>
      <c r="P126" s="140"/>
      <c r="Q126" s="392"/>
      <c r="R126" s="399"/>
      <c r="S126" s="392"/>
      <c r="T126" s="399"/>
      <c r="U126" s="399"/>
      <c r="V126" s="399"/>
      <c r="W126" s="399"/>
      <c r="X126" s="399"/>
      <c r="Y126" s="399"/>
      <c r="Z126" s="461"/>
      <c r="AA126" s="461"/>
      <c r="AB126" s="461"/>
      <c r="AC126" s="80"/>
      <c r="AE126" s="29"/>
      <c r="AF126" s="30"/>
      <c r="AG126" s="30"/>
      <c r="AH126" s="30"/>
      <c r="AI126" s="30"/>
    </row>
    <row r="127" spans="2:35" ht="12" customHeight="1" thickBot="1" x14ac:dyDescent="0.3">
      <c r="B127" s="29" t="s">
        <v>617</v>
      </c>
      <c r="C127" s="92" t="s">
        <v>937</v>
      </c>
      <c r="D127" s="204" t="s">
        <v>1266</v>
      </c>
      <c r="E127" s="48" t="s">
        <v>436</v>
      </c>
      <c r="F127" s="47">
        <v>1.1000000000000001</v>
      </c>
      <c r="G127" s="224">
        <v>244</v>
      </c>
      <c r="H127" s="224">
        <f>ROUNDUP(Tabela1345[[#This Row],[PRICE]]*(1+PRICES!$C$4),0)</f>
        <v>293</v>
      </c>
      <c r="I127" s="175">
        <v>0.15</v>
      </c>
      <c r="J127" s="49">
        <f>Tabela1345[[#This Row],[PRICE]]*Tabela1345[[#This Row],[DISCOUNT per piece '[%']]]</f>
        <v>36.6</v>
      </c>
      <c r="K127" s="49">
        <f>Tabela1345[[#This Row],[PRICE]]*(1-Tabela1345[[#This Row],[DISCOUNT per piece '[%']]])</f>
        <v>207.4</v>
      </c>
      <c r="L127" s="178">
        <f>Tabela1345[[#This Row],[PCS]]*Tabela1345[[#This Row],[PROMOTIONAL PRICE]]</f>
        <v>0</v>
      </c>
      <c r="M127" s="497" cm="1">
        <f t="array" ref="M127">ROUNDUP(Tabela1345[[#This Row],[NEW PRICE]]*eurofxref_daily[],2)</f>
        <v>471.38</v>
      </c>
      <c r="N127" s="502">
        <f>Tabela1345[[#This Row],[CAD PRICE]]*O127</f>
        <v>0</v>
      </c>
      <c r="O127" s="62">
        <f>SUM(Tabela1345[[#This Row],[RAL 1023]:[Custom made colour (7% add price)]])</f>
        <v>0</v>
      </c>
      <c r="P127" s="62">
        <f>Tabela1345[[#This Row],[Weight (kg)]]*Tabela1345[[#This Row],[PCS]]</f>
        <v>0</v>
      </c>
      <c r="Q127" s="395" t="s">
        <v>2067</v>
      </c>
      <c r="R127" s="482"/>
      <c r="S127" s="486"/>
      <c r="T127" s="466"/>
      <c r="U127" s="435"/>
      <c r="V127" s="467"/>
      <c r="W127" s="468"/>
      <c r="X127" s="436"/>
      <c r="Y127" s="470"/>
      <c r="Z127" s="469"/>
      <c r="AA127" s="449"/>
      <c r="AB127" s="449"/>
      <c r="AC127" s="403"/>
      <c r="AE127" s="29"/>
      <c r="AF127" s="30"/>
      <c r="AG127" s="30"/>
      <c r="AH127" s="30"/>
      <c r="AI127" s="30"/>
    </row>
    <row r="128" spans="2:35" ht="12" customHeight="1" thickBot="1" x14ac:dyDescent="0.3">
      <c r="B128" s="29" t="s">
        <v>619</v>
      </c>
      <c r="C128" s="92" t="s">
        <v>938</v>
      </c>
      <c r="D128" s="204" t="s">
        <v>1267</v>
      </c>
      <c r="E128" s="48" t="s">
        <v>437</v>
      </c>
      <c r="F128" s="47">
        <v>1.9</v>
      </c>
      <c r="G128" s="224">
        <v>254.4</v>
      </c>
      <c r="H128" s="224">
        <f>ROUNDUP(Tabela1345[[#This Row],[PRICE]]*(1+PRICES!$C$4),0)</f>
        <v>306</v>
      </c>
      <c r="I128" s="175">
        <v>0.15</v>
      </c>
      <c r="J128" s="49">
        <f>Tabela1345[[#This Row],[PRICE]]*Tabela1345[[#This Row],[DISCOUNT per piece '[%']]]</f>
        <v>38.159999999999997</v>
      </c>
      <c r="K128" s="49">
        <f>Tabela1345[[#This Row],[PRICE]]*(1-Tabela1345[[#This Row],[DISCOUNT per piece '[%']]])</f>
        <v>216.24</v>
      </c>
      <c r="L128" s="178">
        <f>Tabela1345[[#This Row],[PCS]]*Tabela1345[[#This Row],[PROMOTIONAL PRICE]]</f>
        <v>0</v>
      </c>
      <c r="M128" s="497" cm="1">
        <f t="array" ref="M128">ROUNDUP(Tabela1345[[#This Row],[NEW PRICE]]*eurofxref_daily[],2)</f>
        <v>492.3</v>
      </c>
      <c r="N128" s="502">
        <f>Tabela1345[[#This Row],[CAD PRICE]]*O128</f>
        <v>0</v>
      </c>
      <c r="O128" s="62">
        <f>SUM(Tabela1345[[#This Row],[RAL 1023]:[Custom made colour (7% add price)]])</f>
        <v>0</v>
      </c>
      <c r="P128" s="62">
        <f>Tabela1345[[#This Row],[Weight (kg)]]*Tabela1345[[#This Row],[PCS]]</f>
        <v>0</v>
      </c>
      <c r="Q128" s="395" t="s">
        <v>2067</v>
      </c>
      <c r="R128" s="482"/>
      <c r="S128" s="486"/>
      <c r="T128" s="466"/>
      <c r="U128" s="435"/>
      <c r="V128" s="467"/>
      <c r="W128" s="468"/>
      <c r="X128" s="436"/>
      <c r="Y128" s="470"/>
      <c r="Z128" s="469"/>
      <c r="AA128" s="449"/>
      <c r="AB128" s="449"/>
      <c r="AC128" s="403"/>
      <c r="AF128" s="30"/>
      <c r="AG128" s="30"/>
      <c r="AH128" s="30"/>
      <c r="AI128" s="30"/>
    </row>
    <row r="129" spans="2:35" ht="12" customHeight="1" thickBot="1" x14ac:dyDescent="0.3">
      <c r="B129" s="29" t="s">
        <v>621</v>
      </c>
      <c r="C129" s="92" t="s">
        <v>939</v>
      </c>
      <c r="D129" s="204" t="s">
        <v>1268</v>
      </c>
      <c r="E129" s="48" t="s">
        <v>438</v>
      </c>
      <c r="F129" s="47">
        <v>1.4</v>
      </c>
      <c r="G129" s="224">
        <v>244</v>
      </c>
      <c r="H129" s="224">
        <f>ROUNDUP(Tabela1345[[#This Row],[PRICE]]*(1+PRICES!$C$4),0)</f>
        <v>293</v>
      </c>
      <c r="I129" s="175">
        <v>0.15</v>
      </c>
      <c r="J129" s="49">
        <f>Tabela1345[[#This Row],[PRICE]]*Tabela1345[[#This Row],[DISCOUNT per piece '[%']]]</f>
        <v>36.6</v>
      </c>
      <c r="K129" s="49">
        <f>Tabela1345[[#This Row],[PRICE]]*(1-Tabela1345[[#This Row],[DISCOUNT per piece '[%']]])</f>
        <v>207.4</v>
      </c>
      <c r="L129" s="178">
        <f>Tabela1345[[#This Row],[PCS]]*Tabela1345[[#This Row],[PROMOTIONAL PRICE]]</f>
        <v>0</v>
      </c>
      <c r="M129" s="497" cm="1">
        <f t="array" ref="M129">ROUNDUP(Tabela1345[[#This Row],[NEW PRICE]]*eurofxref_daily[],2)</f>
        <v>471.38</v>
      </c>
      <c r="N129" s="502">
        <f>Tabela1345[[#This Row],[CAD PRICE]]*O129</f>
        <v>0</v>
      </c>
      <c r="O129" s="62">
        <f>SUM(Tabela1345[[#This Row],[RAL 1023]:[Custom made colour (7% add price)]])</f>
        <v>0</v>
      </c>
      <c r="P129" s="62">
        <f>Tabela1345[[#This Row],[Weight (kg)]]*Tabela1345[[#This Row],[PCS]]</f>
        <v>0</v>
      </c>
      <c r="Q129" s="395" t="s">
        <v>2067</v>
      </c>
      <c r="R129" s="482"/>
      <c r="S129" s="486"/>
      <c r="T129" s="466"/>
      <c r="U129" s="435"/>
      <c r="V129" s="467"/>
      <c r="W129" s="468"/>
      <c r="X129" s="436"/>
      <c r="Y129" s="470"/>
      <c r="Z129" s="469"/>
      <c r="AA129" s="449"/>
      <c r="AB129" s="449"/>
      <c r="AC129" s="403"/>
      <c r="AF129" s="30"/>
      <c r="AG129" s="30"/>
      <c r="AH129" s="30"/>
      <c r="AI129" s="30"/>
    </row>
    <row r="130" spans="2:35" ht="12" customHeight="1" thickBot="1" x14ac:dyDescent="0.3">
      <c r="B130" s="29" t="s">
        <v>623</v>
      </c>
      <c r="C130" s="92" t="s">
        <v>940</v>
      </c>
      <c r="D130" s="204" t="s">
        <v>1269</v>
      </c>
      <c r="E130" s="48" t="s">
        <v>439</v>
      </c>
      <c r="F130" s="47">
        <v>1.6</v>
      </c>
      <c r="G130" s="224">
        <v>244</v>
      </c>
      <c r="H130" s="224">
        <f>ROUNDUP(Tabela1345[[#This Row],[PRICE]]*(1+PRICES!$C$4),0)</f>
        <v>293</v>
      </c>
      <c r="I130" s="175">
        <v>0.15</v>
      </c>
      <c r="J130" s="49">
        <f>Tabela1345[[#This Row],[PRICE]]*Tabela1345[[#This Row],[DISCOUNT per piece '[%']]]</f>
        <v>36.6</v>
      </c>
      <c r="K130" s="49">
        <f>Tabela1345[[#This Row],[PRICE]]*(1-Tabela1345[[#This Row],[DISCOUNT per piece '[%']]])</f>
        <v>207.4</v>
      </c>
      <c r="L130" s="178">
        <f>Tabela1345[[#This Row],[PCS]]*Tabela1345[[#This Row],[PROMOTIONAL PRICE]]</f>
        <v>0</v>
      </c>
      <c r="M130" s="497" cm="1">
        <f t="array" ref="M130">ROUNDUP(Tabela1345[[#This Row],[NEW PRICE]]*eurofxref_daily[],2)</f>
        <v>471.38</v>
      </c>
      <c r="N130" s="502">
        <f>Tabela1345[[#This Row],[CAD PRICE]]*O130</f>
        <v>0</v>
      </c>
      <c r="O130" s="62">
        <f>SUM(Tabela1345[[#This Row],[RAL 1023]:[Custom made colour (7% add price)]])</f>
        <v>0</v>
      </c>
      <c r="P130" s="62">
        <f>Tabela1345[[#This Row],[Weight (kg)]]*Tabela1345[[#This Row],[PCS]]</f>
        <v>0</v>
      </c>
      <c r="Q130" s="395" t="s">
        <v>2067</v>
      </c>
      <c r="R130" s="482"/>
      <c r="S130" s="486"/>
      <c r="T130" s="466"/>
      <c r="U130" s="435"/>
      <c r="V130" s="467"/>
      <c r="W130" s="468"/>
      <c r="X130" s="436"/>
      <c r="Y130" s="470"/>
      <c r="Z130" s="469"/>
      <c r="AA130" s="449"/>
      <c r="AB130" s="449"/>
      <c r="AC130" s="403"/>
      <c r="AF130" s="30"/>
      <c r="AG130" s="30"/>
      <c r="AH130" s="30"/>
      <c r="AI130" s="30"/>
    </row>
    <row r="131" spans="2:35" ht="12" customHeight="1" thickBot="1" x14ac:dyDescent="0.3">
      <c r="B131" s="29" t="s">
        <v>625</v>
      </c>
      <c r="C131" s="92" t="s">
        <v>941</v>
      </c>
      <c r="D131" s="204" t="s">
        <v>1270</v>
      </c>
      <c r="E131" s="48" t="s">
        <v>440</v>
      </c>
      <c r="F131" s="47">
        <v>1.9</v>
      </c>
      <c r="G131" s="224">
        <v>255</v>
      </c>
      <c r="H131" s="224">
        <f>ROUNDUP(Tabela1345[[#This Row],[PRICE]]*(1+PRICES!$C$4),0)</f>
        <v>306</v>
      </c>
      <c r="I131" s="175">
        <v>0.15</v>
      </c>
      <c r="J131" s="49">
        <f>Tabela1345[[#This Row],[PRICE]]*Tabela1345[[#This Row],[DISCOUNT per piece '[%']]]</f>
        <v>38.25</v>
      </c>
      <c r="K131" s="49">
        <f>Tabela1345[[#This Row],[PRICE]]*(1-Tabela1345[[#This Row],[DISCOUNT per piece '[%']]])</f>
        <v>216.75</v>
      </c>
      <c r="L131" s="178">
        <f>Tabela1345[[#This Row],[PCS]]*Tabela1345[[#This Row],[PROMOTIONAL PRICE]]</f>
        <v>0</v>
      </c>
      <c r="M131" s="497" cm="1">
        <f t="array" ref="M131">ROUNDUP(Tabela1345[[#This Row],[NEW PRICE]]*eurofxref_daily[],2)</f>
        <v>492.3</v>
      </c>
      <c r="N131" s="502">
        <f>Tabela1345[[#This Row],[CAD PRICE]]*O131</f>
        <v>0</v>
      </c>
      <c r="O131" s="62">
        <f>SUM(Tabela1345[[#This Row],[RAL 1023]:[Custom made colour (7% add price)]])</f>
        <v>0</v>
      </c>
      <c r="P131" s="62">
        <f>Tabela1345[[#This Row],[Weight (kg)]]*Tabela1345[[#This Row],[PCS]]</f>
        <v>0</v>
      </c>
      <c r="Q131" s="395" t="s">
        <v>2067</v>
      </c>
      <c r="R131" s="482"/>
      <c r="S131" s="486"/>
      <c r="T131" s="466"/>
      <c r="U131" s="435"/>
      <c r="V131" s="467"/>
      <c r="W131" s="468"/>
      <c r="X131" s="436"/>
      <c r="Y131" s="470"/>
      <c r="Z131" s="469"/>
      <c r="AA131" s="449"/>
      <c r="AB131" s="449"/>
      <c r="AC131" s="403"/>
      <c r="AF131" s="30"/>
      <c r="AG131" s="30"/>
      <c r="AH131" s="30"/>
      <c r="AI131" s="30"/>
    </row>
    <row r="132" spans="2:35" ht="12" customHeight="1" thickBot="1" x14ac:dyDescent="0.3">
      <c r="B132" s="29" t="s">
        <v>627</v>
      </c>
      <c r="C132" s="92" t="s">
        <v>942</v>
      </c>
      <c r="D132" s="204" t="s">
        <v>1271</v>
      </c>
      <c r="E132" s="48" t="s">
        <v>441</v>
      </c>
      <c r="F132" s="47">
        <v>3.1</v>
      </c>
      <c r="G132" s="224">
        <v>276</v>
      </c>
      <c r="H132" s="224">
        <f>ROUNDUP(Tabela1345[[#This Row],[PRICE]]*(1+PRICES!$C$4),0)</f>
        <v>332</v>
      </c>
      <c r="I132" s="175">
        <v>0.15</v>
      </c>
      <c r="J132" s="49">
        <f>Tabela1345[[#This Row],[PRICE]]*Tabela1345[[#This Row],[DISCOUNT per piece '[%']]]</f>
        <v>41.4</v>
      </c>
      <c r="K132" s="49">
        <f>Tabela1345[[#This Row],[PRICE]]*(1-Tabela1345[[#This Row],[DISCOUNT per piece '[%']]])</f>
        <v>234.6</v>
      </c>
      <c r="L132" s="178">
        <f>Tabela1345[[#This Row],[PCS]]*Tabela1345[[#This Row],[PROMOTIONAL PRICE]]</f>
        <v>0</v>
      </c>
      <c r="M132" s="497" cm="1">
        <f t="array" ref="M132">ROUNDUP(Tabela1345[[#This Row],[NEW PRICE]]*eurofxref_daily[],2)</f>
        <v>534.13</v>
      </c>
      <c r="N132" s="502">
        <f>Tabela1345[[#This Row],[CAD PRICE]]*O132</f>
        <v>0</v>
      </c>
      <c r="O132" s="62">
        <f>SUM(Tabela1345[[#This Row],[RAL 1023]:[Custom made colour (7% add price)]])</f>
        <v>0</v>
      </c>
      <c r="P132" s="62">
        <f>Tabela1345[[#This Row],[Weight (kg)]]*Tabela1345[[#This Row],[PCS]]</f>
        <v>0</v>
      </c>
      <c r="Q132" s="395" t="s">
        <v>2067</v>
      </c>
      <c r="R132" s="482"/>
      <c r="S132" s="486"/>
      <c r="T132" s="466"/>
      <c r="U132" s="435"/>
      <c r="V132" s="467"/>
      <c r="W132" s="468"/>
      <c r="X132" s="436"/>
      <c r="Y132" s="470"/>
      <c r="Z132" s="469"/>
      <c r="AA132" s="449"/>
      <c r="AB132" s="449"/>
      <c r="AC132" s="403"/>
      <c r="AF132" s="30"/>
      <c r="AG132" s="30"/>
      <c r="AH132" s="30"/>
      <c r="AI132" s="30"/>
    </row>
    <row r="133" spans="2:35" ht="12" customHeight="1" thickBot="1" x14ac:dyDescent="0.3">
      <c r="B133" s="29" t="s">
        <v>629</v>
      </c>
      <c r="C133" s="92" t="s">
        <v>943</v>
      </c>
      <c r="D133" s="204" t="s">
        <v>1272</v>
      </c>
      <c r="E133" s="48" t="s">
        <v>442</v>
      </c>
      <c r="F133" s="47">
        <v>2.8</v>
      </c>
      <c r="G133" s="224">
        <v>276</v>
      </c>
      <c r="H133" s="224">
        <f>ROUNDUP(Tabela1345[[#This Row],[PRICE]]*(1+PRICES!$C$4),0)</f>
        <v>332</v>
      </c>
      <c r="I133" s="175">
        <v>0.15</v>
      </c>
      <c r="J133" s="49">
        <f>Tabela1345[[#This Row],[PRICE]]*Tabela1345[[#This Row],[DISCOUNT per piece '[%']]]</f>
        <v>41.4</v>
      </c>
      <c r="K133" s="49">
        <f>Tabela1345[[#This Row],[PRICE]]*(1-Tabela1345[[#This Row],[DISCOUNT per piece '[%']]])</f>
        <v>234.6</v>
      </c>
      <c r="L133" s="178">
        <f>Tabela1345[[#This Row],[PCS]]*Tabela1345[[#This Row],[PROMOTIONAL PRICE]]</f>
        <v>0</v>
      </c>
      <c r="M133" s="497" cm="1">
        <f t="array" ref="M133">ROUNDUP(Tabela1345[[#This Row],[NEW PRICE]]*eurofxref_daily[],2)</f>
        <v>534.13</v>
      </c>
      <c r="N133" s="502">
        <f>Tabela1345[[#This Row],[CAD PRICE]]*O133</f>
        <v>0</v>
      </c>
      <c r="O133" s="62">
        <f>SUM(Tabela1345[[#This Row],[RAL 1023]:[Custom made colour (7% add price)]])</f>
        <v>0</v>
      </c>
      <c r="P133" s="62">
        <f>Tabela1345[[#This Row],[Weight (kg)]]*Tabela1345[[#This Row],[PCS]]</f>
        <v>0</v>
      </c>
      <c r="Q133" s="395" t="s">
        <v>2067</v>
      </c>
      <c r="R133" s="482"/>
      <c r="S133" s="486"/>
      <c r="T133" s="466"/>
      <c r="U133" s="435"/>
      <c r="V133" s="467"/>
      <c r="W133" s="468"/>
      <c r="X133" s="436"/>
      <c r="Y133" s="470"/>
      <c r="Z133" s="469"/>
      <c r="AA133" s="449"/>
      <c r="AB133" s="449"/>
      <c r="AC133" s="403"/>
      <c r="AF133" s="30"/>
      <c r="AG133" s="30"/>
      <c r="AH133" s="30"/>
      <c r="AI133" s="30"/>
    </row>
    <row r="134" spans="2:35" ht="12" customHeight="1" thickBot="1" x14ac:dyDescent="0.3">
      <c r="B134" s="29" t="s">
        <v>631</v>
      </c>
      <c r="C134" s="92" t="s">
        <v>944</v>
      </c>
      <c r="D134" s="204" t="s">
        <v>1273</v>
      </c>
      <c r="E134" s="48" t="s">
        <v>443</v>
      </c>
      <c r="F134" s="47">
        <v>3.4</v>
      </c>
      <c r="G134" s="224">
        <v>276</v>
      </c>
      <c r="H134" s="224">
        <f>ROUNDUP(Tabela1345[[#This Row],[PRICE]]*(1+PRICES!$C$4),0)</f>
        <v>332</v>
      </c>
      <c r="I134" s="175">
        <v>0.15</v>
      </c>
      <c r="J134" s="49">
        <f>Tabela1345[[#This Row],[PRICE]]*Tabela1345[[#This Row],[DISCOUNT per piece '[%']]]</f>
        <v>41.4</v>
      </c>
      <c r="K134" s="49">
        <f>Tabela1345[[#This Row],[PRICE]]*(1-Tabela1345[[#This Row],[DISCOUNT per piece '[%']]])</f>
        <v>234.6</v>
      </c>
      <c r="L134" s="178">
        <f>Tabela1345[[#This Row],[PCS]]*Tabela1345[[#This Row],[PROMOTIONAL PRICE]]</f>
        <v>0</v>
      </c>
      <c r="M134" s="497" cm="1">
        <f t="array" ref="M134">ROUNDUP(Tabela1345[[#This Row],[NEW PRICE]]*eurofxref_daily[],2)</f>
        <v>534.13</v>
      </c>
      <c r="N134" s="502">
        <f>Tabela1345[[#This Row],[CAD PRICE]]*O134</f>
        <v>0</v>
      </c>
      <c r="O134" s="62">
        <f>SUM(Tabela1345[[#This Row],[RAL 1023]:[Custom made colour (7% add price)]])</f>
        <v>0</v>
      </c>
      <c r="P134" s="62">
        <f>Tabela1345[[#This Row],[Weight (kg)]]*Tabela1345[[#This Row],[PCS]]</f>
        <v>0</v>
      </c>
      <c r="Q134" s="395" t="s">
        <v>2067</v>
      </c>
      <c r="R134" s="482"/>
      <c r="S134" s="486"/>
      <c r="T134" s="466"/>
      <c r="U134" s="435"/>
      <c r="V134" s="467"/>
      <c r="W134" s="468"/>
      <c r="X134" s="436"/>
      <c r="Y134" s="470"/>
      <c r="Z134" s="469"/>
      <c r="AA134" s="449"/>
      <c r="AB134" s="449"/>
      <c r="AC134" s="403"/>
      <c r="AF134" s="30"/>
      <c r="AG134" s="30"/>
      <c r="AH134" s="30"/>
      <c r="AI134" s="30"/>
    </row>
    <row r="135" spans="2:35" ht="12" customHeight="1" thickBot="1" x14ac:dyDescent="0.3">
      <c r="B135" s="29" t="s">
        <v>633</v>
      </c>
      <c r="C135" s="92" t="s">
        <v>945</v>
      </c>
      <c r="D135" s="204" t="s">
        <v>1274</v>
      </c>
      <c r="E135" s="48" t="s">
        <v>444</v>
      </c>
      <c r="F135" s="47">
        <v>2.42</v>
      </c>
      <c r="G135" s="224">
        <v>276</v>
      </c>
      <c r="H135" s="224">
        <f>ROUNDUP(Tabela1345[[#This Row],[PRICE]]*(1+PRICES!$C$4),0)</f>
        <v>332</v>
      </c>
      <c r="I135" s="175">
        <v>0.15</v>
      </c>
      <c r="J135" s="49">
        <f>Tabela1345[[#This Row],[PRICE]]*Tabela1345[[#This Row],[DISCOUNT per piece '[%']]]</f>
        <v>41.4</v>
      </c>
      <c r="K135" s="49">
        <f>Tabela1345[[#This Row],[PRICE]]*(1-Tabela1345[[#This Row],[DISCOUNT per piece '[%']]])</f>
        <v>234.6</v>
      </c>
      <c r="L135" s="178">
        <f>Tabela1345[[#This Row],[PCS]]*Tabela1345[[#This Row],[PROMOTIONAL PRICE]]</f>
        <v>0</v>
      </c>
      <c r="M135" s="497" cm="1">
        <f t="array" ref="M135">ROUNDUP(Tabela1345[[#This Row],[NEW PRICE]]*eurofxref_daily[],2)</f>
        <v>534.13</v>
      </c>
      <c r="N135" s="502">
        <f>Tabela1345[[#This Row],[CAD PRICE]]*O135</f>
        <v>0</v>
      </c>
      <c r="O135" s="62">
        <f>SUM(Tabela1345[[#This Row],[RAL 1023]:[Custom made colour (7% add price)]])</f>
        <v>0</v>
      </c>
      <c r="P135" s="62">
        <f>Tabela1345[[#This Row],[Weight (kg)]]*Tabela1345[[#This Row],[PCS]]</f>
        <v>0</v>
      </c>
      <c r="Q135" s="395" t="s">
        <v>2067</v>
      </c>
      <c r="R135" s="482"/>
      <c r="S135" s="486"/>
      <c r="T135" s="466"/>
      <c r="U135" s="435"/>
      <c r="V135" s="467"/>
      <c r="W135" s="468"/>
      <c r="X135" s="436"/>
      <c r="Y135" s="470"/>
      <c r="Z135" s="469"/>
      <c r="AA135" s="449"/>
      <c r="AB135" s="449"/>
      <c r="AC135" s="403"/>
      <c r="AF135" s="30"/>
      <c r="AG135" s="30"/>
      <c r="AH135" s="30"/>
      <c r="AI135" s="30"/>
    </row>
    <row r="136" spans="2:35" ht="12" customHeight="1" thickBot="1" x14ac:dyDescent="0.3">
      <c r="B136" s="29" t="s">
        <v>635</v>
      </c>
      <c r="C136" s="92" t="s">
        <v>946</v>
      </c>
      <c r="D136" s="204" t="s">
        <v>1275</v>
      </c>
      <c r="E136" s="48" t="s">
        <v>445</v>
      </c>
      <c r="F136" s="47">
        <v>2.8</v>
      </c>
      <c r="G136" s="224">
        <v>276</v>
      </c>
      <c r="H136" s="224">
        <f>ROUNDUP(Tabela1345[[#This Row],[PRICE]]*(1+PRICES!$C$4),0)</f>
        <v>332</v>
      </c>
      <c r="I136" s="175">
        <v>0.15</v>
      </c>
      <c r="J136" s="49">
        <f>Tabela1345[[#This Row],[PRICE]]*Tabela1345[[#This Row],[DISCOUNT per piece '[%']]]</f>
        <v>41.4</v>
      </c>
      <c r="K136" s="49">
        <f>Tabela1345[[#This Row],[PRICE]]*(1-Tabela1345[[#This Row],[DISCOUNT per piece '[%']]])</f>
        <v>234.6</v>
      </c>
      <c r="L136" s="178">
        <f>Tabela1345[[#This Row],[PCS]]*Tabela1345[[#This Row],[PROMOTIONAL PRICE]]</f>
        <v>0</v>
      </c>
      <c r="M136" s="497" cm="1">
        <f t="array" ref="M136">ROUNDUP(Tabela1345[[#This Row],[NEW PRICE]]*eurofxref_daily[],2)</f>
        <v>534.13</v>
      </c>
      <c r="N136" s="502">
        <f>Tabela1345[[#This Row],[CAD PRICE]]*O136</f>
        <v>0</v>
      </c>
      <c r="O136" s="62">
        <f>SUM(Tabela1345[[#This Row],[RAL 1023]:[Custom made colour (7% add price)]])</f>
        <v>0</v>
      </c>
      <c r="P136" s="62">
        <f>Tabela1345[[#This Row],[Weight (kg)]]*Tabela1345[[#This Row],[PCS]]</f>
        <v>0</v>
      </c>
      <c r="Q136" s="395" t="s">
        <v>2067</v>
      </c>
      <c r="R136" s="482"/>
      <c r="S136" s="486"/>
      <c r="T136" s="466"/>
      <c r="U136" s="435"/>
      <c r="V136" s="467"/>
      <c r="W136" s="468"/>
      <c r="X136" s="436"/>
      <c r="Y136" s="470"/>
      <c r="Z136" s="469"/>
      <c r="AA136" s="449"/>
      <c r="AB136" s="449"/>
      <c r="AC136" s="403"/>
      <c r="AF136" s="30"/>
      <c r="AG136" s="30"/>
      <c r="AH136" s="30"/>
      <c r="AI136" s="30"/>
    </row>
    <row r="137" spans="2:35" ht="12" customHeight="1" thickBot="1" x14ac:dyDescent="0.3">
      <c r="B137" s="122" t="s">
        <v>637</v>
      </c>
      <c r="C137" s="139" t="s">
        <v>1396</v>
      </c>
      <c r="D137" s="126"/>
      <c r="E137" s="124"/>
      <c r="F137" s="124"/>
      <c r="G137" s="358"/>
      <c r="H137" s="348"/>
      <c r="I137" s="124"/>
      <c r="J137" s="124"/>
      <c r="K137" s="124"/>
      <c r="L137" s="215"/>
      <c r="M137" s="124"/>
      <c r="N137" s="124"/>
      <c r="O137" s="124"/>
      <c r="P137" s="140"/>
      <c r="Q137" s="392"/>
      <c r="R137" s="399"/>
      <c r="S137" s="392"/>
      <c r="T137" s="399"/>
      <c r="U137" s="399"/>
      <c r="V137" s="399"/>
      <c r="W137" s="399"/>
      <c r="X137" s="399"/>
      <c r="Y137" s="399"/>
      <c r="Z137" s="461"/>
      <c r="AA137" s="461"/>
      <c r="AB137" s="461"/>
      <c r="AC137" s="80"/>
      <c r="AF137" s="30"/>
      <c r="AG137" s="30"/>
      <c r="AH137" s="30"/>
      <c r="AI137" s="30"/>
    </row>
    <row r="138" spans="2:35" ht="12" customHeight="1" thickBot="1" x14ac:dyDescent="0.3">
      <c r="B138" s="29" t="s">
        <v>638</v>
      </c>
      <c r="C138" s="92" t="s">
        <v>1397</v>
      </c>
      <c r="D138" s="204" t="s">
        <v>1344</v>
      </c>
      <c r="E138" s="48" t="s">
        <v>648</v>
      </c>
      <c r="F138" s="47">
        <v>3.1</v>
      </c>
      <c r="G138" s="224">
        <v>271</v>
      </c>
      <c r="H138" s="224">
        <f>ROUNDUP(Tabela1345[[#This Row],[PRICE]]*(1+PRICES!$C$4),0)</f>
        <v>326</v>
      </c>
      <c r="I138" s="175">
        <v>0.2</v>
      </c>
      <c r="J138" s="49">
        <f>Tabela1345[[#This Row],[PRICE]]*Tabela1345[[#This Row],[DISCOUNT per piece '[%']]]</f>
        <v>54.2</v>
      </c>
      <c r="K138" s="49">
        <f>Tabela1345[[#This Row],[PRICE]]*(1-Tabela1345[[#This Row],[DISCOUNT per piece '[%']]])</f>
        <v>216.8</v>
      </c>
      <c r="L138" s="178">
        <f>Tabela1345[[#This Row],[PCS]]*Tabela1345[[#This Row],[PROMOTIONAL PRICE]]</f>
        <v>0</v>
      </c>
      <c r="M138" s="497" cm="1">
        <f t="array" ref="M138">ROUNDUP(Tabela1345[[#This Row],[NEW PRICE]]*eurofxref_daily[],2)</f>
        <v>524.47</v>
      </c>
      <c r="N138" s="502">
        <f>Tabela1345[[#This Row],[CAD PRICE]]*O138</f>
        <v>0</v>
      </c>
      <c r="O138" s="62">
        <f>SUM(Tabela1345[[#This Row],[RAL 1023]:[Custom made colour (7% add price)]])</f>
        <v>0</v>
      </c>
      <c r="P138" s="62">
        <f>Tabela1345[[#This Row],[Weight (kg)]]*Tabela1345[[#This Row],[PCS]]</f>
        <v>0</v>
      </c>
      <c r="Q138" s="393"/>
      <c r="R138" s="482"/>
      <c r="S138" s="486"/>
      <c r="T138" s="466"/>
      <c r="U138" s="435"/>
      <c r="V138" s="467"/>
      <c r="W138" s="468"/>
      <c r="X138" s="436"/>
      <c r="Y138" s="470"/>
      <c r="Z138" s="469"/>
      <c r="AA138" s="449"/>
      <c r="AB138" s="449"/>
      <c r="AC138" s="403"/>
      <c r="AF138" s="30"/>
      <c r="AG138" s="30"/>
      <c r="AH138" s="30"/>
      <c r="AI138" s="30"/>
    </row>
    <row r="139" spans="2:35" ht="12" customHeight="1" thickBot="1" x14ac:dyDescent="0.3">
      <c r="B139" s="29" t="s">
        <v>639</v>
      </c>
      <c r="C139" s="92" t="s">
        <v>1398</v>
      </c>
      <c r="D139" s="204" t="s">
        <v>1345</v>
      </c>
      <c r="E139" s="48" t="s">
        <v>649</v>
      </c>
      <c r="F139" s="47">
        <v>2.8</v>
      </c>
      <c r="G139" s="224">
        <v>265</v>
      </c>
      <c r="H139" s="224">
        <f>ROUNDUP(Tabela1345[[#This Row],[PRICE]]*(1+PRICES!$C$4),0)</f>
        <v>318</v>
      </c>
      <c r="I139" s="175">
        <v>0.2</v>
      </c>
      <c r="J139" s="49">
        <f>Tabela1345[[#This Row],[PRICE]]*Tabela1345[[#This Row],[DISCOUNT per piece '[%']]]</f>
        <v>53</v>
      </c>
      <c r="K139" s="49">
        <f>Tabela1345[[#This Row],[PRICE]]*(1-Tabela1345[[#This Row],[DISCOUNT per piece '[%']]])</f>
        <v>212</v>
      </c>
      <c r="L139" s="178">
        <f>Tabela1345[[#This Row],[PCS]]*Tabela1345[[#This Row],[PROMOTIONAL PRICE]]</f>
        <v>0</v>
      </c>
      <c r="M139" s="497" cm="1">
        <f t="array" ref="M139">ROUNDUP(Tabela1345[[#This Row],[NEW PRICE]]*eurofxref_daily[],2)</f>
        <v>511.59999999999997</v>
      </c>
      <c r="N139" s="502">
        <f>Tabela1345[[#This Row],[CAD PRICE]]*O139</f>
        <v>0</v>
      </c>
      <c r="O139" s="62">
        <f>SUM(Tabela1345[[#This Row],[RAL 1023]:[Custom made colour (7% add price)]])</f>
        <v>0</v>
      </c>
      <c r="P139" s="62">
        <f>Tabela1345[[#This Row],[Weight (kg)]]*Tabela1345[[#This Row],[PCS]]</f>
        <v>0</v>
      </c>
      <c r="Q139" s="393"/>
      <c r="R139" s="482"/>
      <c r="S139" s="486"/>
      <c r="T139" s="466"/>
      <c r="U139" s="435"/>
      <c r="V139" s="467"/>
      <c r="W139" s="468"/>
      <c r="X139" s="436"/>
      <c r="Y139" s="470"/>
      <c r="Z139" s="469"/>
      <c r="AA139" s="449"/>
      <c r="AB139" s="449"/>
      <c r="AC139" s="403"/>
      <c r="AF139" s="30"/>
      <c r="AG139" s="30"/>
      <c r="AH139" s="30"/>
      <c r="AI139" s="30"/>
    </row>
    <row r="140" spans="2:35" ht="12" customHeight="1" thickBot="1" x14ac:dyDescent="0.3">
      <c r="B140" s="29" t="s">
        <v>640</v>
      </c>
      <c r="C140" s="92" t="s">
        <v>1399</v>
      </c>
      <c r="D140" s="204" t="s">
        <v>1346</v>
      </c>
      <c r="E140" s="48" t="s">
        <v>650</v>
      </c>
      <c r="F140" s="47">
        <v>2.7</v>
      </c>
      <c r="G140" s="224">
        <v>255</v>
      </c>
      <c r="H140" s="224">
        <f>ROUNDUP(Tabela1345[[#This Row],[PRICE]]*(1+PRICES!$C$4),0)</f>
        <v>306</v>
      </c>
      <c r="I140" s="175">
        <v>0.2</v>
      </c>
      <c r="J140" s="49">
        <f>Tabela1345[[#This Row],[PRICE]]*Tabela1345[[#This Row],[DISCOUNT per piece '[%']]]</f>
        <v>51</v>
      </c>
      <c r="K140" s="49">
        <f>Tabela1345[[#This Row],[PRICE]]*(1-Tabela1345[[#This Row],[DISCOUNT per piece '[%']]])</f>
        <v>204</v>
      </c>
      <c r="L140" s="178">
        <f>Tabela1345[[#This Row],[PCS]]*Tabela1345[[#This Row],[PROMOTIONAL PRICE]]</f>
        <v>0</v>
      </c>
      <c r="M140" s="497" cm="1">
        <f t="array" ref="M140">ROUNDUP(Tabela1345[[#This Row],[NEW PRICE]]*eurofxref_daily[],2)</f>
        <v>492.3</v>
      </c>
      <c r="N140" s="502">
        <f>Tabela1345[[#This Row],[CAD PRICE]]*O140</f>
        <v>0</v>
      </c>
      <c r="O140" s="62">
        <f>SUM(Tabela1345[[#This Row],[RAL 1023]:[Custom made colour (7% add price)]])</f>
        <v>0</v>
      </c>
      <c r="P140" s="62">
        <f>Tabela1345[[#This Row],[Weight (kg)]]*Tabela1345[[#This Row],[PCS]]</f>
        <v>0</v>
      </c>
      <c r="Q140" s="393"/>
      <c r="R140" s="482"/>
      <c r="S140" s="486"/>
      <c r="T140" s="466"/>
      <c r="U140" s="435"/>
      <c r="V140" s="467"/>
      <c r="W140" s="468"/>
      <c r="X140" s="436"/>
      <c r="Y140" s="470"/>
      <c r="Z140" s="469"/>
      <c r="AA140" s="449"/>
      <c r="AB140" s="449"/>
      <c r="AC140" s="403"/>
      <c r="AF140" s="30"/>
      <c r="AG140" s="30"/>
      <c r="AH140" s="30"/>
      <c r="AI140" s="30"/>
    </row>
    <row r="141" spans="2:35" ht="12" customHeight="1" thickBot="1" x14ac:dyDescent="0.3">
      <c r="B141" s="29" t="s">
        <v>641</v>
      </c>
      <c r="C141" s="92" t="s">
        <v>1400</v>
      </c>
      <c r="D141" s="204" t="s">
        <v>1347</v>
      </c>
      <c r="E141" s="48" t="s">
        <v>651</v>
      </c>
      <c r="F141" s="47">
        <v>1.6</v>
      </c>
      <c r="G141" s="224">
        <v>250</v>
      </c>
      <c r="H141" s="224">
        <f>ROUNDUP(Tabela1345[[#This Row],[PRICE]]*(1+PRICES!$C$4),0)</f>
        <v>300</v>
      </c>
      <c r="I141" s="175">
        <v>0.2</v>
      </c>
      <c r="J141" s="49">
        <f>Tabela1345[[#This Row],[PRICE]]*Tabela1345[[#This Row],[DISCOUNT per piece '[%']]]</f>
        <v>50</v>
      </c>
      <c r="K141" s="49">
        <f>Tabela1345[[#This Row],[PRICE]]*(1-Tabela1345[[#This Row],[DISCOUNT per piece '[%']]])</f>
        <v>200</v>
      </c>
      <c r="L141" s="178">
        <f>Tabela1345[[#This Row],[PCS]]*Tabela1345[[#This Row],[PROMOTIONAL PRICE]]</f>
        <v>0</v>
      </c>
      <c r="M141" s="497" cm="1">
        <f t="array" ref="M141">ROUNDUP(Tabela1345[[#This Row],[NEW PRICE]]*eurofxref_daily[],2)</f>
        <v>482.64</v>
      </c>
      <c r="N141" s="502">
        <f>Tabela1345[[#This Row],[CAD PRICE]]*O141</f>
        <v>0</v>
      </c>
      <c r="O141" s="62">
        <f>SUM(Tabela1345[[#This Row],[RAL 1023]:[Custom made colour (7% add price)]])</f>
        <v>0</v>
      </c>
      <c r="P141" s="62">
        <f>Tabela1345[[#This Row],[Weight (kg)]]*Tabela1345[[#This Row],[PCS]]</f>
        <v>0</v>
      </c>
      <c r="Q141" s="393"/>
      <c r="R141" s="482"/>
      <c r="S141" s="486"/>
      <c r="T141" s="466"/>
      <c r="U141" s="435"/>
      <c r="V141" s="467"/>
      <c r="W141" s="468"/>
      <c r="X141" s="436"/>
      <c r="Y141" s="470"/>
      <c r="Z141" s="469"/>
      <c r="AA141" s="449"/>
      <c r="AB141" s="449"/>
      <c r="AC141" s="403"/>
      <c r="AF141" s="30"/>
      <c r="AG141" s="30"/>
      <c r="AH141" s="30"/>
      <c r="AI141" s="30"/>
    </row>
    <row r="142" spans="2:35" ht="12" customHeight="1" thickBot="1" x14ac:dyDescent="0.3">
      <c r="B142" s="29" t="s">
        <v>642</v>
      </c>
      <c r="C142" s="92" t="s">
        <v>1401</v>
      </c>
      <c r="D142" s="204" t="s">
        <v>1348</v>
      </c>
      <c r="E142" s="48" t="s">
        <v>652</v>
      </c>
      <c r="F142" s="47">
        <v>2</v>
      </c>
      <c r="G142" s="224">
        <v>250</v>
      </c>
      <c r="H142" s="224">
        <f>ROUNDUP(Tabela1345[[#This Row],[PRICE]]*(1+PRICES!$C$4),0)</f>
        <v>300</v>
      </c>
      <c r="I142" s="175">
        <v>0.2</v>
      </c>
      <c r="J142" s="49">
        <f>Tabela1345[[#This Row],[PRICE]]*Tabela1345[[#This Row],[DISCOUNT per piece '[%']]]</f>
        <v>50</v>
      </c>
      <c r="K142" s="49">
        <f>Tabela1345[[#This Row],[PRICE]]*(1-Tabela1345[[#This Row],[DISCOUNT per piece '[%']]])</f>
        <v>200</v>
      </c>
      <c r="L142" s="178">
        <f>Tabela1345[[#This Row],[PCS]]*Tabela1345[[#This Row],[PROMOTIONAL PRICE]]</f>
        <v>0</v>
      </c>
      <c r="M142" s="497" cm="1">
        <f t="array" ref="M142">ROUNDUP(Tabela1345[[#This Row],[NEW PRICE]]*eurofxref_daily[],2)</f>
        <v>482.64</v>
      </c>
      <c r="N142" s="502">
        <f>Tabela1345[[#This Row],[CAD PRICE]]*O142</f>
        <v>0</v>
      </c>
      <c r="O142" s="62">
        <f>SUM(Tabela1345[[#This Row],[RAL 1023]:[Custom made colour (7% add price)]])</f>
        <v>0</v>
      </c>
      <c r="P142" s="62">
        <f>Tabela1345[[#This Row],[Weight (kg)]]*Tabela1345[[#This Row],[PCS]]</f>
        <v>0</v>
      </c>
      <c r="Q142" s="393"/>
      <c r="R142" s="482"/>
      <c r="S142" s="486"/>
      <c r="T142" s="466"/>
      <c r="U142" s="435"/>
      <c r="V142" s="467"/>
      <c r="W142" s="468"/>
      <c r="X142" s="436"/>
      <c r="Y142" s="470"/>
      <c r="Z142" s="469"/>
      <c r="AA142" s="449"/>
      <c r="AB142" s="449"/>
      <c r="AC142" s="403"/>
      <c r="AF142" s="30"/>
      <c r="AG142" s="30"/>
      <c r="AH142" s="30"/>
      <c r="AI142" s="30"/>
    </row>
    <row r="143" spans="2:35" ht="12" customHeight="1" thickBot="1" x14ac:dyDescent="0.3">
      <c r="B143" s="29" t="s">
        <v>643</v>
      </c>
      <c r="C143" s="92" t="s">
        <v>1402</v>
      </c>
      <c r="D143" s="204" t="s">
        <v>1349</v>
      </c>
      <c r="E143" s="48" t="s">
        <v>653</v>
      </c>
      <c r="F143" s="47">
        <v>2.2000000000000002</v>
      </c>
      <c r="G143" s="224">
        <v>244</v>
      </c>
      <c r="H143" s="224">
        <f>ROUNDUP(Tabela1345[[#This Row],[PRICE]]*(1+PRICES!$C$4),0)</f>
        <v>293</v>
      </c>
      <c r="I143" s="175">
        <v>0.2</v>
      </c>
      <c r="J143" s="49">
        <f>Tabela1345[[#This Row],[PRICE]]*Tabela1345[[#This Row],[DISCOUNT per piece '[%']]]</f>
        <v>48.800000000000004</v>
      </c>
      <c r="K143" s="49">
        <f>Tabela1345[[#This Row],[PRICE]]*(1-Tabela1345[[#This Row],[DISCOUNT per piece '[%']]])</f>
        <v>195.20000000000002</v>
      </c>
      <c r="L143" s="178">
        <f>Tabela1345[[#This Row],[PCS]]*Tabela1345[[#This Row],[PROMOTIONAL PRICE]]</f>
        <v>0</v>
      </c>
      <c r="M143" s="497" cm="1">
        <f t="array" ref="M143">ROUNDUP(Tabela1345[[#This Row],[NEW PRICE]]*eurofxref_daily[],2)</f>
        <v>471.38</v>
      </c>
      <c r="N143" s="502">
        <f>Tabela1345[[#This Row],[CAD PRICE]]*O143</f>
        <v>0</v>
      </c>
      <c r="O143" s="62">
        <f>SUM(Tabela1345[[#This Row],[RAL 1023]:[Custom made colour (7% add price)]])</f>
        <v>0</v>
      </c>
      <c r="P143" s="62">
        <f>Tabela1345[[#This Row],[Weight (kg)]]*Tabela1345[[#This Row],[PCS]]</f>
        <v>0</v>
      </c>
      <c r="Q143" s="393"/>
      <c r="R143" s="482"/>
      <c r="S143" s="486"/>
      <c r="T143" s="466"/>
      <c r="U143" s="435"/>
      <c r="V143" s="467"/>
      <c r="W143" s="468"/>
      <c r="X143" s="436"/>
      <c r="Y143" s="470"/>
      <c r="Z143" s="469"/>
      <c r="AA143" s="449"/>
      <c r="AB143" s="449"/>
      <c r="AC143" s="403"/>
      <c r="AF143" s="30"/>
      <c r="AG143" s="30"/>
      <c r="AH143" s="30"/>
      <c r="AI143" s="30"/>
    </row>
    <row r="144" spans="2:35" ht="12" customHeight="1" thickBot="1" x14ac:dyDescent="0.3">
      <c r="B144" s="29" t="s">
        <v>644</v>
      </c>
      <c r="C144" s="92" t="s">
        <v>1403</v>
      </c>
      <c r="D144" s="204" t="s">
        <v>1350</v>
      </c>
      <c r="E144" s="48" t="s">
        <v>654</v>
      </c>
      <c r="F144" s="47">
        <v>1.6</v>
      </c>
      <c r="G144" s="224">
        <v>250</v>
      </c>
      <c r="H144" s="224">
        <f>ROUNDUP(Tabela1345[[#This Row],[PRICE]]*(1+PRICES!$C$4),0)</f>
        <v>300</v>
      </c>
      <c r="I144" s="175">
        <v>0.2</v>
      </c>
      <c r="J144" s="49">
        <f>Tabela1345[[#This Row],[PRICE]]*Tabela1345[[#This Row],[DISCOUNT per piece '[%']]]</f>
        <v>50</v>
      </c>
      <c r="K144" s="49">
        <f>Tabela1345[[#This Row],[PRICE]]*(1-Tabela1345[[#This Row],[DISCOUNT per piece '[%']]])</f>
        <v>200</v>
      </c>
      <c r="L144" s="178">
        <f>Tabela1345[[#This Row],[PCS]]*Tabela1345[[#This Row],[PROMOTIONAL PRICE]]</f>
        <v>0</v>
      </c>
      <c r="M144" s="497" cm="1">
        <f t="array" ref="M144">ROUNDUP(Tabela1345[[#This Row],[NEW PRICE]]*eurofxref_daily[],2)</f>
        <v>482.64</v>
      </c>
      <c r="N144" s="502">
        <f>Tabela1345[[#This Row],[CAD PRICE]]*O144</f>
        <v>0</v>
      </c>
      <c r="O144" s="62">
        <f>SUM(Tabela1345[[#This Row],[RAL 1023]:[Custom made colour (7% add price)]])</f>
        <v>0</v>
      </c>
      <c r="P144" s="62">
        <f>Tabela1345[[#This Row],[Weight (kg)]]*Tabela1345[[#This Row],[PCS]]</f>
        <v>0</v>
      </c>
      <c r="Q144" s="393"/>
      <c r="R144" s="482"/>
      <c r="S144" s="486"/>
      <c r="T144" s="466"/>
      <c r="U144" s="435"/>
      <c r="V144" s="467"/>
      <c r="W144" s="468"/>
      <c r="X144" s="436"/>
      <c r="Y144" s="470"/>
      <c r="Z144" s="469"/>
      <c r="AA144" s="449"/>
      <c r="AB144" s="449"/>
      <c r="AC144" s="403"/>
      <c r="AF144" s="30"/>
      <c r="AG144" s="30"/>
      <c r="AH144" s="30"/>
      <c r="AI144" s="30"/>
    </row>
    <row r="145" spans="2:35" ht="12" customHeight="1" thickBot="1" x14ac:dyDescent="0.3">
      <c r="B145" s="29" t="s">
        <v>645</v>
      </c>
      <c r="C145" s="92" t="s">
        <v>1404</v>
      </c>
      <c r="D145" s="204" t="s">
        <v>1351</v>
      </c>
      <c r="E145" s="48" t="s">
        <v>655</v>
      </c>
      <c r="F145" s="47">
        <v>3</v>
      </c>
      <c r="G145" s="224">
        <v>255</v>
      </c>
      <c r="H145" s="224">
        <f>ROUNDUP(Tabela1345[[#This Row],[PRICE]]*(1+PRICES!$C$4),0)</f>
        <v>306</v>
      </c>
      <c r="I145" s="175">
        <v>0.2</v>
      </c>
      <c r="J145" s="49">
        <f>Tabela1345[[#This Row],[PRICE]]*Tabela1345[[#This Row],[DISCOUNT per piece '[%']]]</f>
        <v>51</v>
      </c>
      <c r="K145" s="49">
        <f>Tabela1345[[#This Row],[PRICE]]*(1-Tabela1345[[#This Row],[DISCOUNT per piece '[%']]])</f>
        <v>204</v>
      </c>
      <c r="L145" s="178">
        <f>Tabela1345[[#This Row],[PCS]]*Tabela1345[[#This Row],[PROMOTIONAL PRICE]]</f>
        <v>0</v>
      </c>
      <c r="M145" s="497" cm="1">
        <f t="array" ref="M145">ROUNDUP(Tabela1345[[#This Row],[NEW PRICE]]*eurofxref_daily[],2)</f>
        <v>492.3</v>
      </c>
      <c r="N145" s="502">
        <f>Tabela1345[[#This Row],[CAD PRICE]]*O145</f>
        <v>0</v>
      </c>
      <c r="O145" s="62">
        <f>SUM(Tabela1345[[#This Row],[RAL 1023]:[Custom made colour (7% add price)]])</f>
        <v>0</v>
      </c>
      <c r="P145" s="62">
        <f>Tabela1345[[#This Row],[Weight (kg)]]*Tabela1345[[#This Row],[PCS]]</f>
        <v>0</v>
      </c>
      <c r="Q145" s="393"/>
      <c r="R145" s="482"/>
      <c r="S145" s="486"/>
      <c r="T145" s="466"/>
      <c r="U145" s="435"/>
      <c r="V145" s="467"/>
      <c r="W145" s="468"/>
      <c r="X145" s="436"/>
      <c r="Y145" s="470"/>
      <c r="Z145" s="469"/>
      <c r="AA145" s="449"/>
      <c r="AB145" s="449"/>
      <c r="AC145" s="403"/>
      <c r="AF145" s="30"/>
      <c r="AG145" s="30"/>
      <c r="AH145" s="30"/>
      <c r="AI145" s="30"/>
    </row>
    <row r="146" spans="2:35" ht="12" customHeight="1" thickBot="1" x14ac:dyDescent="0.3">
      <c r="B146" s="29" t="s">
        <v>646</v>
      </c>
      <c r="C146" s="92" t="s">
        <v>1405</v>
      </c>
      <c r="D146" s="204" t="s">
        <v>1352</v>
      </c>
      <c r="E146" s="48" t="s">
        <v>655</v>
      </c>
      <c r="F146" s="47">
        <v>3</v>
      </c>
      <c r="G146" s="224">
        <v>255</v>
      </c>
      <c r="H146" s="224">
        <f>ROUNDUP(Tabela1345[[#This Row],[PRICE]]*(1+PRICES!$C$4),0)</f>
        <v>306</v>
      </c>
      <c r="I146" s="175">
        <v>0.2</v>
      </c>
      <c r="J146" s="49">
        <f>Tabela1345[[#This Row],[PRICE]]*Tabela1345[[#This Row],[DISCOUNT per piece '[%']]]</f>
        <v>51</v>
      </c>
      <c r="K146" s="49">
        <f>Tabela1345[[#This Row],[PRICE]]*(1-Tabela1345[[#This Row],[DISCOUNT per piece '[%']]])</f>
        <v>204</v>
      </c>
      <c r="L146" s="178">
        <f>Tabela1345[[#This Row],[PCS]]*Tabela1345[[#This Row],[PROMOTIONAL PRICE]]</f>
        <v>0</v>
      </c>
      <c r="M146" s="497" cm="1">
        <f t="array" ref="M146">ROUNDUP(Tabela1345[[#This Row],[NEW PRICE]]*eurofxref_daily[],2)</f>
        <v>492.3</v>
      </c>
      <c r="N146" s="502">
        <f>Tabela1345[[#This Row],[CAD PRICE]]*O146</f>
        <v>0</v>
      </c>
      <c r="O146" s="62">
        <f>SUM(Tabela1345[[#This Row],[RAL 1023]:[Custom made colour (7% add price)]])</f>
        <v>0</v>
      </c>
      <c r="P146" s="62">
        <f>Tabela1345[[#This Row],[Weight (kg)]]*Tabela1345[[#This Row],[PCS]]</f>
        <v>0</v>
      </c>
      <c r="Q146" s="393"/>
      <c r="R146" s="482"/>
      <c r="S146" s="486"/>
      <c r="T146" s="466"/>
      <c r="U146" s="435"/>
      <c r="V146" s="467"/>
      <c r="W146" s="468"/>
      <c r="X146" s="436"/>
      <c r="Y146" s="470"/>
      <c r="Z146" s="469"/>
      <c r="AA146" s="449"/>
      <c r="AB146" s="449"/>
      <c r="AC146" s="503"/>
      <c r="AF146" s="30"/>
      <c r="AG146" s="30"/>
      <c r="AH146" s="30"/>
      <c r="AI146" s="30"/>
    </row>
    <row r="147" spans="2:35" ht="12" customHeight="1" thickBot="1" x14ac:dyDescent="0.3">
      <c r="B147" s="29" t="s">
        <v>647</v>
      </c>
      <c r="C147" s="93" t="s">
        <v>1406</v>
      </c>
      <c r="D147" s="204" t="s">
        <v>1353</v>
      </c>
      <c r="E147" s="191" t="s">
        <v>656</v>
      </c>
      <c r="F147" s="190">
        <v>1.8</v>
      </c>
      <c r="G147" s="224">
        <v>250</v>
      </c>
      <c r="H147" s="224">
        <f>ROUNDUP(Tabela1345[[#This Row],[PRICE]]*(1+PRICES!$C$4),0)</f>
        <v>300</v>
      </c>
      <c r="I147" s="175">
        <v>0.2</v>
      </c>
      <c r="J147" s="192">
        <f>Tabela1345[[#This Row],[PRICE]]*Tabela1345[[#This Row],[DISCOUNT per piece '[%']]]</f>
        <v>50</v>
      </c>
      <c r="K147" s="192">
        <f>Tabela1345[[#This Row],[PRICE]]*(1-Tabela1345[[#This Row],[DISCOUNT per piece '[%']]])</f>
        <v>200</v>
      </c>
      <c r="L147" s="193">
        <f>Tabela1345[[#This Row],[PCS]]*Tabela1345[[#This Row],[PROMOTIONAL PRICE]]</f>
        <v>0</v>
      </c>
      <c r="M147" s="497" cm="1">
        <f t="array" ref="M147">ROUNDUP(Tabela1345[[#This Row],[NEW PRICE]]*eurofxref_daily[],2)</f>
        <v>482.64</v>
      </c>
      <c r="N147" s="502">
        <f>Tabela1345[[#This Row],[CAD PRICE]]*O147</f>
        <v>0</v>
      </c>
      <c r="O147" s="62">
        <f>SUM(Tabela1345[[#This Row],[RAL 1023]:[Custom made colour (7% add price)]])</f>
        <v>0</v>
      </c>
      <c r="P147" s="62">
        <f>Tabela1345[[#This Row],[Weight (kg)]]*Tabela1345[[#This Row],[PCS]]</f>
        <v>0</v>
      </c>
      <c r="Q147" s="396"/>
      <c r="R147" s="482"/>
      <c r="S147" s="486"/>
      <c r="T147" s="466"/>
      <c r="U147" s="435"/>
      <c r="V147" s="467"/>
      <c r="W147" s="468"/>
      <c r="X147" s="436"/>
      <c r="Y147" s="470"/>
      <c r="Z147" s="469"/>
      <c r="AA147" s="449"/>
      <c r="AB147" s="449"/>
      <c r="AC147" s="504"/>
      <c r="AF147" s="30"/>
      <c r="AG147" s="30"/>
      <c r="AH147" s="30"/>
      <c r="AI147" s="30"/>
    </row>
    <row r="148" spans="2:35" ht="15.75" thickBot="1" x14ac:dyDescent="0.3">
      <c r="B148" s="122"/>
      <c r="C148" s="139" t="s">
        <v>1581</v>
      </c>
      <c r="D148" s="126"/>
      <c r="E148" s="124"/>
      <c r="F148" s="123"/>
      <c r="G148" s="358"/>
      <c r="H148" s="348"/>
      <c r="I148" s="201"/>
      <c r="J148" s="201"/>
      <c r="K148" s="201"/>
      <c r="L148" s="201"/>
      <c r="M148" s="124"/>
      <c r="N148" s="124"/>
      <c r="O148" s="201"/>
      <c r="P148" s="201"/>
      <c r="Q148" s="392"/>
      <c r="R148" s="399"/>
      <c r="S148" s="392"/>
      <c r="T148" s="399"/>
      <c r="U148" s="399"/>
      <c r="V148" s="399"/>
      <c r="W148" s="399"/>
      <c r="X148" s="399"/>
      <c r="Y148" s="399"/>
      <c r="Z148" s="461"/>
      <c r="AA148" s="461"/>
      <c r="AB148" s="461"/>
      <c r="AC148" s="461"/>
    </row>
    <row r="149" spans="2:35" ht="12.6" customHeight="1" thickBot="1" x14ac:dyDescent="0.3">
      <c r="B149" s="138" t="s">
        <v>1744</v>
      </c>
      <c r="C149" s="115" t="s">
        <v>1608</v>
      </c>
      <c r="D149" s="208" t="s">
        <v>1508</v>
      </c>
      <c r="E149" s="112" t="s">
        <v>560</v>
      </c>
      <c r="F149" s="111">
        <v>3</v>
      </c>
      <c r="G149" s="224">
        <v>191</v>
      </c>
      <c r="H149" s="224">
        <f>ROUNDUP(Tabela1345[[#This Row],[PRICE]]*(1+PRICES!$C$4),0)</f>
        <v>230</v>
      </c>
      <c r="I149" s="106" t="e">
        <f>G149*J149</f>
        <v>#REF!</v>
      </c>
      <c r="J149" s="243" t="e">
        <f>SUM(L149:W149)</f>
        <v>#REF!</v>
      </c>
      <c r="K149" s="243" t="e">
        <f>[1]!Tabela1345[[#This Row],[Weight (kg)]]*[1]!Tabela1345[[#This Row],[SETS]]</f>
        <v>#REF!</v>
      </c>
      <c r="L149" s="244" t="e">
        <f>Tabela1345[[#This Row],[PCS]]*Tabela1345[[#This Row],[PROMOTIONAL PRICE]]</f>
        <v>#REF!</v>
      </c>
      <c r="M149" s="497" cm="1">
        <f t="array" ref="M149">ROUNDUP(Tabela1345[[#This Row],[NEW PRICE]]*eurofxref_daily[],2)</f>
        <v>370.03</v>
      </c>
      <c r="N149" s="502">
        <f>Tabela1345[[#This Row],[CAD PRICE]]*O149</f>
        <v>0</v>
      </c>
      <c r="O149" s="62">
        <f>SUM(Tabela1345[[#This Row],[RAL 1023]:[Custom made colour (7% add price)]])</f>
        <v>0</v>
      </c>
      <c r="P149" s="62">
        <f>Tabela1345[[#This Row],[Weight (kg)]]*Tabela1345[[#This Row],[PCS]]</f>
        <v>0</v>
      </c>
      <c r="Q149" s="397"/>
      <c r="R149" s="482"/>
      <c r="S149" s="486"/>
      <c r="T149" s="466"/>
      <c r="U149" s="435"/>
      <c r="V149" s="467"/>
      <c r="W149" s="468"/>
      <c r="X149" s="436"/>
      <c r="Y149" s="470"/>
      <c r="Z149" s="469"/>
      <c r="AA149" s="449"/>
      <c r="AB149" s="449"/>
      <c r="AC149" s="505"/>
    </row>
    <row r="150" spans="2:35" ht="12" customHeight="1" thickBot="1" x14ac:dyDescent="0.3">
      <c r="B150" s="138" t="s">
        <v>1743</v>
      </c>
      <c r="C150" s="115" t="s">
        <v>1609</v>
      </c>
      <c r="D150" s="208" t="s">
        <v>1509</v>
      </c>
      <c r="E150" s="112" t="s">
        <v>561</v>
      </c>
      <c r="F150" s="111">
        <v>4</v>
      </c>
      <c r="G150" s="224">
        <v>181</v>
      </c>
      <c r="H150" s="224">
        <f>ROUNDUP(Tabela1345[[#This Row],[PRICE]]*(1+PRICES!$C$4),0)</f>
        <v>218</v>
      </c>
      <c r="I150" s="106" t="e">
        <f>G150*J150</f>
        <v>#REF!</v>
      </c>
      <c r="J150" s="243" t="e">
        <f>SUM(L150:W150)</f>
        <v>#REF!</v>
      </c>
      <c r="K150" s="243" t="e">
        <f>[1]!Tabela1345[[#This Row],[Weight (kg)]]*[1]!Tabela1345[[#This Row],[SETS]]</f>
        <v>#REF!</v>
      </c>
      <c r="L150" s="244" t="e">
        <f>Tabela1345[[#This Row],[PCS]]*Tabela1345[[#This Row],[PROMOTIONAL PRICE]]</f>
        <v>#REF!</v>
      </c>
      <c r="M150" s="497" cm="1">
        <f t="array" ref="M150">ROUNDUP(Tabela1345[[#This Row],[NEW PRICE]]*eurofxref_daily[],2)</f>
        <v>350.71999999999997</v>
      </c>
      <c r="N150" s="502">
        <f>Tabela1345[[#This Row],[CAD PRICE]]*O150</f>
        <v>0</v>
      </c>
      <c r="O150" s="62">
        <f>SUM(Tabela1345[[#This Row],[RAL 1023]:[Custom made colour (7% add price)]])</f>
        <v>0</v>
      </c>
      <c r="P150" s="62">
        <f>Tabela1345[[#This Row],[Weight (kg)]]*Tabela1345[[#This Row],[PCS]]</f>
        <v>0</v>
      </c>
      <c r="Q150" s="397"/>
      <c r="R150" s="482"/>
      <c r="S150" s="486"/>
      <c r="T150" s="466"/>
      <c r="U150" s="435"/>
      <c r="V150" s="467"/>
      <c r="W150" s="468"/>
      <c r="X150" s="436"/>
      <c r="Y150" s="470"/>
      <c r="Z150" s="469"/>
      <c r="AA150" s="449"/>
      <c r="AB150" s="449"/>
      <c r="AC150" s="505"/>
      <c r="AF150" s="30"/>
      <c r="AG150" s="30"/>
      <c r="AH150" s="30"/>
      <c r="AI150" s="30"/>
    </row>
    <row r="151" spans="2:35" ht="12" customHeight="1" thickBot="1" x14ac:dyDescent="0.3">
      <c r="B151" s="138" t="s">
        <v>1745</v>
      </c>
      <c r="C151" s="115" t="s">
        <v>1610</v>
      </c>
      <c r="D151" s="208" t="s">
        <v>1510</v>
      </c>
      <c r="E151" s="112" t="s">
        <v>562</v>
      </c>
      <c r="F151" s="111">
        <v>4.2</v>
      </c>
      <c r="G151" s="224">
        <v>191</v>
      </c>
      <c r="H151" s="224">
        <f>ROUNDUP(Tabela1345[[#This Row],[PRICE]]*(1+PRICES!$C$4),0)</f>
        <v>230</v>
      </c>
      <c r="I151" s="106" t="e">
        <f t="shared" ref="I151:I158" si="6">G151*J151</f>
        <v>#REF!</v>
      </c>
      <c r="J151" s="243" t="e">
        <f t="shared" ref="J151:J158" si="7">SUM(L151:W151)</f>
        <v>#REF!</v>
      </c>
      <c r="K151" s="243" t="e">
        <f>[1]!Tabela1345[[#This Row],[Weight (kg)]]*[1]!Tabela1345[[#This Row],[SETS]]</f>
        <v>#REF!</v>
      </c>
      <c r="L151" s="244" t="e">
        <f>Tabela1345[[#This Row],[PCS]]*Tabela1345[[#This Row],[PROMOTIONAL PRICE]]</f>
        <v>#REF!</v>
      </c>
      <c r="M151" s="497" cm="1">
        <f t="array" ref="M151">ROUNDUP(Tabela1345[[#This Row],[NEW PRICE]]*eurofxref_daily[],2)</f>
        <v>370.03</v>
      </c>
      <c r="N151" s="502">
        <f>Tabela1345[[#This Row],[CAD PRICE]]*O151</f>
        <v>0</v>
      </c>
      <c r="O151" s="62">
        <f>SUM(Tabela1345[[#This Row],[RAL 1023]:[Custom made colour (7% add price)]])</f>
        <v>0</v>
      </c>
      <c r="P151" s="62">
        <f>Tabela1345[[#This Row],[Weight (kg)]]*Tabela1345[[#This Row],[PCS]]</f>
        <v>0</v>
      </c>
      <c r="Q151" s="397"/>
      <c r="R151" s="482"/>
      <c r="S151" s="486"/>
      <c r="T151" s="466"/>
      <c r="U151" s="435"/>
      <c r="V151" s="467"/>
      <c r="W151" s="468"/>
      <c r="X151" s="436"/>
      <c r="Y151" s="470"/>
      <c r="Z151" s="469"/>
      <c r="AA151" s="449"/>
      <c r="AB151" s="449"/>
      <c r="AC151" s="505"/>
      <c r="AF151" s="30"/>
      <c r="AG151" s="30"/>
      <c r="AH151" s="30"/>
      <c r="AI151" s="30"/>
    </row>
    <row r="152" spans="2:35" ht="12" customHeight="1" thickBot="1" x14ac:dyDescent="0.3">
      <c r="B152" s="138" t="s">
        <v>1746</v>
      </c>
      <c r="C152" s="115" t="s">
        <v>1611</v>
      </c>
      <c r="D152" s="208" t="s">
        <v>1511</v>
      </c>
      <c r="E152" s="112" t="s">
        <v>563</v>
      </c>
      <c r="F152" s="111">
        <v>2.1</v>
      </c>
      <c r="G152" s="224">
        <v>175</v>
      </c>
      <c r="H152" s="224">
        <f>ROUNDUP(Tabela1345[[#This Row],[PRICE]]*(1+PRICES!$C$4),0)</f>
        <v>210</v>
      </c>
      <c r="I152" s="106" t="e">
        <f t="shared" si="6"/>
        <v>#REF!</v>
      </c>
      <c r="J152" s="243" t="e">
        <f t="shared" si="7"/>
        <v>#REF!</v>
      </c>
      <c r="K152" s="243" t="e">
        <f>[1]!Tabela1345[[#This Row],[Weight (kg)]]*[1]!Tabela1345[[#This Row],[SETS]]</f>
        <v>#REF!</v>
      </c>
      <c r="L152" s="244" t="e">
        <f>Tabela1345[[#This Row],[PCS]]*Tabela1345[[#This Row],[PROMOTIONAL PRICE]]</f>
        <v>#REF!</v>
      </c>
      <c r="M152" s="497" cm="1">
        <f t="array" ref="M152">ROUNDUP(Tabela1345[[#This Row],[NEW PRICE]]*eurofxref_daily[],2)</f>
        <v>337.84999999999997</v>
      </c>
      <c r="N152" s="502">
        <f>Tabela1345[[#This Row],[CAD PRICE]]*O152</f>
        <v>0</v>
      </c>
      <c r="O152" s="62">
        <f>SUM(Tabela1345[[#This Row],[RAL 1023]:[Custom made colour (7% add price)]])</f>
        <v>0</v>
      </c>
      <c r="P152" s="62">
        <f>Tabela1345[[#This Row],[Weight (kg)]]*Tabela1345[[#This Row],[PCS]]</f>
        <v>0</v>
      </c>
      <c r="Q152" s="397"/>
      <c r="R152" s="482"/>
      <c r="S152" s="486"/>
      <c r="T152" s="466"/>
      <c r="U152" s="435"/>
      <c r="V152" s="467"/>
      <c r="W152" s="468"/>
      <c r="X152" s="436"/>
      <c r="Y152" s="470"/>
      <c r="Z152" s="469"/>
      <c r="AA152" s="449"/>
      <c r="AB152" s="449"/>
      <c r="AC152" s="505"/>
      <c r="AF152" s="30"/>
      <c r="AG152" s="30"/>
      <c r="AH152" s="30"/>
      <c r="AI152" s="30"/>
    </row>
    <row r="153" spans="2:35" ht="12" customHeight="1" thickBot="1" x14ac:dyDescent="0.3">
      <c r="B153" s="138" t="s">
        <v>1747</v>
      </c>
      <c r="C153" s="115" t="s">
        <v>1612</v>
      </c>
      <c r="D153" s="208" t="s">
        <v>1512</v>
      </c>
      <c r="E153" s="112" t="s">
        <v>564</v>
      </c>
      <c r="F153" s="111">
        <v>2.2000000000000002</v>
      </c>
      <c r="G153" s="224">
        <v>181</v>
      </c>
      <c r="H153" s="224">
        <f>ROUNDUP(Tabela1345[[#This Row],[PRICE]]*(1+PRICES!$C$4),0)</f>
        <v>218</v>
      </c>
      <c r="I153" s="106" t="e">
        <f t="shared" si="6"/>
        <v>#REF!</v>
      </c>
      <c r="J153" s="243" t="e">
        <f t="shared" si="7"/>
        <v>#REF!</v>
      </c>
      <c r="K153" s="243" t="e">
        <f>[1]!Tabela1345[[#This Row],[Weight (kg)]]*[1]!Tabela1345[[#This Row],[SETS]]</f>
        <v>#REF!</v>
      </c>
      <c r="L153" s="244" t="e">
        <f>Tabela1345[[#This Row],[PCS]]*Tabela1345[[#This Row],[PROMOTIONAL PRICE]]</f>
        <v>#REF!</v>
      </c>
      <c r="M153" s="497" cm="1">
        <f t="array" ref="M153">ROUNDUP(Tabela1345[[#This Row],[NEW PRICE]]*eurofxref_daily[],2)</f>
        <v>350.71999999999997</v>
      </c>
      <c r="N153" s="502">
        <f>Tabela1345[[#This Row],[CAD PRICE]]*O153</f>
        <v>0</v>
      </c>
      <c r="O153" s="62">
        <f>SUM(Tabela1345[[#This Row],[RAL 1023]:[Custom made colour (7% add price)]])</f>
        <v>0</v>
      </c>
      <c r="P153" s="62">
        <f>Tabela1345[[#This Row],[Weight (kg)]]*Tabela1345[[#This Row],[PCS]]</f>
        <v>0</v>
      </c>
      <c r="Q153" s="397"/>
      <c r="R153" s="482"/>
      <c r="S153" s="486"/>
      <c r="T153" s="466"/>
      <c r="U153" s="435"/>
      <c r="V153" s="467"/>
      <c r="W153" s="468"/>
      <c r="X153" s="436"/>
      <c r="Y153" s="470"/>
      <c r="Z153" s="469"/>
      <c r="AA153" s="449"/>
      <c r="AB153" s="449"/>
      <c r="AC153" s="505"/>
      <c r="AF153" s="30"/>
      <c r="AG153" s="30"/>
      <c r="AH153" s="30"/>
      <c r="AI153" s="30"/>
    </row>
    <row r="154" spans="2:35" ht="12" customHeight="1" thickBot="1" x14ac:dyDescent="0.3">
      <c r="B154" s="138" t="s">
        <v>1748</v>
      </c>
      <c r="C154" s="115" t="s">
        <v>1613</v>
      </c>
      <c r="D154" s="208" t="s">
        <v>1513</v>
      </c>
      <c r="E154" s="112" t="s">
        <v>565</v>
      </c>
      <c r="F154" s="111">
        <v>3</v>
      </c>
      <c r="G154" s="224">
        <v>191</v>
      </c>
      <c r="H154" s="224">
        <f>ROUNDUP(Tabela1345[[#This Row],[PRICE]]*(1+PRICES!$C$4),0)</f>
        <v>230</v>
      </c>
      <c r="I154" s="106" t="e">
        <f t="shared" si="6"/>
        <v>#REF!</v>
      </c>
      <c r="J154" s="243" t="e">
        <f t="shared" si="7"/>
        <v>#REF!</v>
      </c>
      <c r="K154" s="243" t="e">
        <f>[1]!Tabela1345[[#This Row],[Weight (kg)]]*[1]!Tabela1345[[#This Row],[SETS]]</f>
        <v>#REF!</v>
      </c>
      <c r="L154" s="244" t="e">
        <f>Tabela1345[[#This Row],[PCS]]*Tabela1345[[#This Row],[PROMOTIONAL PRICE]]</f>
        <v>#REF!</v>
      </c>
      <c r="M154" s="497" cm="1">
        <f t="array" ref="M154">ROUNDUP(Tabela1345[[#This Row],[NEW PRICE]]*eurofxref_daily[],2)</f>
        <v>370.03</v>
      </c>
      <c r="N154" s="502">
        <f>Tabela1345[[#This Row],[CAD PRICE]]*O154</f>
        <v>0</v>
      </c>
      <c r="O154" s="62">
        <f>SUM(Tabela1345[[#This Row],[RAL 1023]:[Custom made colour (7% add price)]])</f>
        <v>0</v>
      </c>
      <c r="P154" s="62">
        <f>Tabela1345[[#This Row],[Weight (kg)]]*Tabela1345[[#This Row],[PCS]]</f>
        <v>0</v>
      </c>
      <c r="Q154" s="397"/>
      <c r="R154" s="482"/>
      <c r="S154" s="486"/>
      <c r="T154" s="466"/>
      <c r="U154" s="435"/>
      <c r="V154" s="467"/>
      <c r="W154" s="468"/>
      <c r="X154" s="436"/>
      <c r="Y154" s="470"/>
      <c r="Z154" s="469"/>
      <c r="AA154" s="449"/>
      <c r="AB154" s="449"/>
      <c r="AC154" s="505"/>
      <c r="AF154" s="30"/>
      <c r="AG154" s="30"/>
      <c r="AH154" s="30"/>
      <c r="AI154" s="30"/>
    </row>
    <row r="155" spans="2:35" ht="12" customHeight="1" thickBot="1" x14ac:dyDescent="0.3">
      <c r="B155" s="138" t="s">
        <v>1749</v>
      </c>
      <c r="C155" s="115" t="s">
        <v>1614</v>
      </c>
      <c r="D155" s="208" t="s">
        <v>1514</v>
      </c>
      <c r="E155" s="112" t="s">
        <v>566</v>
      </c>
      <c r="F155" s="111">
        <v>2</v>
      </c>
      <c r="G155" s="224">
        <v>181</v>
      </c>
      <c r="H155" s="224">
        <f>ROUNDUP(Tabela1345[[#This Row],[PRICE]]*(1+PRICES!$C$4),0)</f>
        <v>218</v>
      </c>
      <c r="I155" s="106" t="e">
        <f t="shared" si="6"/>
        <v>#REF!</v>
      </c>
      <c r="J155" s="243" t="e">
        <f t="shared" si="7"/>
        <v>#REF!</v>
      </c>
      <c r="K155" s="243" t="e">
        <f>[1]!Tabela1345[[#This Row],[Weight (kg)]]*[1]!Tabela1345[[#This Row],[SETS]]</f>
        <v>#REF!</v>
      </c>
      <c r="L155" s="244" t="e">
        <f>Tabela1345[[#This Row],[PCS]]*Tabela1345[[#This Row],[PROMOTIONAL PRICE]]</f>
        <v>#REF!</v>
      </c>
      <c r="M155" s="497" cm="1">
        <f t="array" ref="M155">ROUNDUP(Tabela1345[[#This Row],[NEW PRICE]]*eurofxref_daily[],2)</f>
        <v>350.71999999999997</v>
      </c>
      <c r="N155" s="502">
        <f>Tabela1345[[#This Row],[CAD PRICE]]*O155</f>
        <v>0</v>
      </c>
      <c r="O155" s="62">
        <f>SUM(Tabela1345[[#This Row],[RAL 1023]:[Custom made colour (7% add price)]])</f>
        <v>0</v>
      </c>
      <c r="P155" s="62">
        <f>Tabela1345[[#This Row],[Weight (kg)]]*Tabela1345[[#This Row],[PCS]]</f>
        <v>0</v>
      </c>
      <c r="Q155" s="397"/>
      <c r="R155" s="482"/>
      <c r="S155" s="486"/>
      <c r="T155" s="466"/>
      <c r="U155" s="435"/>
      <c r="V155" s="467"/>
      <c r="W155" s="468"/>
      <c r="X155" s="436"/>
      <c r="Y155" s="470"/>
      <c r="Z155" s="469"/>
      <c r="AA155" s="449"/>
      <c r="AB155" s="449"/>
      <c r="AC155" s="505"/>
      <c r="AF155" s="30"/>
      <c r="AG155" s="30"/>
      <c r="AH155" s="30"/>
      <c r="AI155" s="30"/>
    </row>
    <row r="156" spans="2:35" ht="12" customHeight="1" thickBot="1" x14ac:dyDescent="0.3">
      <c r="B156" s="138" t="s">
        <v>1750</v>
      </c>
      <c r="C156" s="115" t="s">
        <v>1615</v>
      </c>
      <c r="D156" s="208" t="s">
        <v>1515</v>
      </c>
      <c r="E156" s="112" t="s">
        <v>567</v>
      </c>
      <c r="F156" s="111">
        <v>2.6</v>
      </c>
      <c r="G156" s="224">
        <v>186</v>
      </c>
      <c r="H156" s="224">
        <f>ROUNDUP(Tabela1345[[#This Row],[PRICE]]*(1+PRICES!$C$4),0)</f>
        <v>224</v>
      </c>
      <c r="I156" s="106" t="e">
        <f t="shared" si="6"/>
        <v>#REF!</v>
      </c>
      <c r="J156" s="243" t="e">
        <f t="shared" si="7"/>
        <v>#REF!</v>
      </c>
      <c r="K156" s="243" t="e">
        <f>[1]!Tabela1345[[#This Row],[Weight (kg)]]*[1]!Tabela1345[[#This Row],[SETS]]</f>
        <v>#REF!</v>
      </c>
      <c r="L156" s="244" t="e">
        <f>Tabela1345[[#This Row],[PCS]]*Tabela1345[[#This Row],[PROMOTIONAL PRICE]]</f>
        <v>#REF!</v>
      </c>
      <c r="M156" s="497" cm="1">
        <f t="array" ref="M156">ROUNDUP(Tabela1345[[#This Row],[NEW PRICE]]*eurofxref_daily[],2)</f>
        <v>360.38</v>
      </c>
      <c r="N156" s="502">
        <f>Tabela1345[[#This Row],[CAD PRICE]]*O156</f>
        <v>0</v>
      </c>
      <c r="O156" s="62">
        <f>SUM(Tabela1345[[#This Row],[RAL 1023]:[Custom made colour (7% add price)]])</f>
        <v>0</v>
      </c>
      <c r="P156" s="62">
        <f>Tabela1345[[#This Row],[Weight (kg)]]*Tabela1345[[#This Row],[PCS]]</f>
        <v>0</v>
      </c>
      <c r="Q156" s="397"/>
      <c r="R156" s="482"/>
      <c r="S156" s="486"/>
      <c r="T156" s="466"/>
      <c r="U156" s="435"/>
      <c r="V156" s="467"/>
      <c r="W156" s="468"/>
      <c r="X156" s="436"/>
      <c r="Y156" s="470"/>
      <c r="Z156" s="469"/>
      <c r="AA156" s="449"/>
      <c r="AB156" s="449"/>
      <c r="AC156" s="505"/>
      <c r="AF156" s="30"/>
      <c r="AG156" s="30"/>
      <c r="AH156" s="30"/>
      <c r="AI156" s="30"/>
    </row>
    <row r="157" spans="2:35" ht="12" customHeight="1" thickBot="1" x14ac:dyDescent="0.3">
      <c r="B157" s="138" t="s">
        <v>1751</v>
      </c>
      <c r="C157" s="115" t="s">
        <v>1616</v>
      </c>
      <c r="D157" s="208" t="s">
        <v>1516</v>
      </c>
      <c r="E157" s="112" t="s">
        <v>568</v>
      </c>
      <c r="F157" s="111">
        <v>1.8</v>
      </c>
      <c r="G157" s="224">
        <v>181</v>
      </c>
      <c r="H157" s="224">
        <f>ROUNDUP(Tabela1345[[#This Row],[PRICE]]*(1+PRICES!$C$4),0)</f>
        <v>218</v>
      </c>
      <c r="I157" s="106" t="e">
        <f t="shared" si="6"/>
        <v>#REF!</v>
      </c>
      <c r="J157" s="243" t="e">
        <f t="shared" si="7"/>
        <v>#REF!</v>
      </c>
      <c r="K157" s="243" t="e">
        <f>[1]!Tabela1345[[#This Row],[Weight (kg)]]*[1]!Tabela1345[[#This Row],[SETS]]</f>
        <v>#REF!</v>
      </c>
      <c r="L157" s="244" t="e">
        <f>Tabela1345[[#This Row],[PCS]]*Tabela1345[[#This Row],[PROMOTIONAL PRICE]]</f>
        <v>#REF!</v>
      </c>
      <c r="M157" s="497" cm="1">
        <f t="array" ref="M157">ROUNDUP(Tabela1345[[#This Row],[NEW PRICE]]*eurofxref_daily[],2)</f>
        <v>350.71999999999997</v>
      </c>
      <c r="N157" s="502">
        <f>Tabela1345[[#This Row],[CAD PRICE]]*O157</f>
        <v>0</v>
      </c>
      <c r="O157" s="62">
        <f>SUM(Tabela1345[[#This Row],[RAL 1023]:[Custom made colour (7% add price)]])</f>
        <v>0</v>
      </c>
      <c r="P157" s="62">
        <f>Tabela1345[[#This Row],[Weight (kg)]]*Tabela1345[[#This Row],[PCS]]</f>
        <v>0</v>
      </c>
      <c r="Q157" s="397"/>
      <c r="R157" s="482"/>
      <c r="S157" s="486"/>
      <c r="T157" s="466"/>
      <c r="U157" s="435"/>
      <c r="V157" s="467"/>
      <c r="W157" s="468"/>
      <c r="X157" s="436"/>
      <c r="Y157" s="470"/>
      <c r="Z157" s="469"/>
      <c r="AA157" s="449"/>
      <c r="AB157" s="449"/>
      <c r="AC157" s="505"/>
      <c r="AF157" s="30"/>
      <c r="AG157" s="30"/>
      <c r="AH157" s="30"/>
      <c r="AI157" s="30"/>
    </row>
    <row r="158" spans="2:35" ht="12" customHeight="1" thickBot="1" x14ac:dyDescent="0.3">
      <c r="B158" s="138" t="s">
        <v>1752</v>
      </c>
      <c r="C158" s="115" t="s">
        <v>1617</v>
      </c>
      <c r="D158" s="208" t="s">
        <v>1517</v>
      </c>
      <c r="E158" s="112" t="s">
        <v>569</v>
      </c>
      <c r="F158" s="111">
        <v>2.9</v>
      </c>
      <c r="G158" s="224">
        <v>186</v>
      </c>
      <c r="H158" s="224">
        <f>ROUNDUP(Tabela1345[[#This Row],[PRICE]]*(1+PRICES!$C$4),0)</f>
        <v>224</v>
      </c>
      <c r="I158" s="107" t="e">
        <f t="shared" si="6"/>
        <v>#REF!</v>
      </c>
      <c r="J158" s="245" t="e">
        <f t="shared" si="7"/>
        <v>#REF!</v>
      </c>
      <c r="K158" s="245" t="e">
        <f>[1]!Tabela1345[[#This Row],[Weight (kg)]]*[1]!Tabela1345[[#This Row],[SETS]]</f>
        <v>#REF!</v>
      </c>
      <c r="L158" s="246" t="e">
        <f>Tabela1345[[#This Row],[PCS]]*Tabela1345[[#This Row],[PROMOTIONAL PRICE]]</f>
        <v>#REF!</v>
      </c>
      <c r="M158" s="497" cm="1">
        <f t="array" ref="M158">ROUNDUP(Tabela1345[[#This Row],[NEW PRICE]]*eurofxref_daily[],2)</f>
        <v>360.38</v>
      </c>
      <c r="N158" s="502">
        <f>Tabela1345[[#This Row],[CAD PRICE]]*O158</f>
        <v>0</v>
      </c>
      <c r="O158" s="62">
        <f>SUM(Tabela1345[[#This Row],[RAL 1023]:[Custom made colour (7% add price)]])</f>
        <v>0</v>
      </c>
      <c r="P158" s="62">
        <f>Tabela1345[[#This Row],[Weight (kg)]]*Tabela1345[[#This Row],[PCS]]</f>
        <v>0</v>
      </c>
      <c r="Q158" s="398"/>
      <c r="R158" s="482"/>
      <c r="S158" s="486"/>
      <c r="T158" s="466"/>
      <c r="U158" s="435"/>
      <c r="V158" s="467"/>
      <c r="W158" s="468"/>
      <c r="X158" s="436"/>
      <c r="Y158" s="470"/>
      <c r="Z158" s="469"/>
      <c r="AA158" s="449"/>
      <c r="AB158" s="449"/>
      <c r="AC158" s="505"/>
      <c r="AF158" s="30"/>
      <c r="AG158" s="30"/>
      <c r="AH158" s="30"/>
      <c r="AI158" s="30"/>
    </row>
    <row r="159" spans="2:35" ht="12" customHeight="1" thickBot="1" x14ac:dyDescent="0.3">
      <c r="B159" s="350"/>
      <c r="C159" s="139" t="s">
        <v>1583</v>
      </c>
      <c r="D159" s="126"/>
      <c r="E159" s="124"/>
      <c r="F159" s="123"/>
      <c r="G159" s="358"/>
      <c r="H159" s="124"/>
      <c r="I159" s="124"/>
      <c r="J159" s="201"/>
      <c r="K159" s="201"/>
      <c r="L159" s="201"/>
      <c r="M159" s="124"/>
      <c r="N159" s="124"/>
      <c r="O159" s="201"/>
      <c r="P159" s="201"/>
      <c r="Q159" s="392"/>
      <c r="R159" s="399"/>
      <c r="S159" s="392"/>
      <c r="T159" s="399"/>
      <c r="U159" s="399"/>
      <c r="V159" s="399"/>
      <c r="W159" s="399"/>
      <c r="X159" s="399"/>
      <c r="Y159" s="399"/>
      <c r="Z159" s="461"/>
      <c r="AA159" s="461"/>
      <c r="AB159" s="461"/>
      <c r="AC159" s="461"/>
      <c r="AF159" s="30"/>
      <c r="AG159" s="30"/>
      <c r="AH159" s="30"/>
      <c r="AI159" s="30"/>
    </row>
    <row r="160" spans="2:35" ht="12.75" customHeight="1" thickBot="1" x14ac:dyDescent="0.3">
      <c r="B160" s="247" t="s">
        <v>1596</v>
      </c>
      <c r="C160" s="115" t="s">
        <v>1584</v>
      </c>
      <c r="D160" s="248" t="s">
        <v>1596</v>
      </c>
      <c r="E160" s="112" t="s">
        <v>1681</v>
      </c>
      <c r="F160" s="111">
        <v>3</v>
      </c>
      <c r="G160" s="224">
        <v>69</v>
      </c>
      <c r="H160" s="224">
        <f>ROUNDUP(Tabela1345[[#This Row],[PRICE]]*(1+PRICES!$C$4),0)</f>
        <v>83</v>
      </c>
      <c r="I160" s="106" t="e">
        <f>G160*J160</f>
        <v>#REF!</v>
      </c>
      <c r="J160" s="243" t="e">
        <f>SUM(L160:W160)</f>
        <v>#REF!</v>
      </c>
      <c r="K160" s="243" t="e">
        <f>[1]!Tabela1345[[#This Row],[Weight (kg)]]*[1]!Tabela1345[[#This Row],[SETS]]</f>
        <v>#REF!</v>
      </c>
      <c r="L160" s="244" t="e">
        <f>Tabela1345[[#This Row],[PCS]]*Tabela1345[[#This Row],[PROMOTIONAL PRICE]]</f>
        <v>#REF!</v>
      </c>
      <c r="M160" s="497" cm="1">
        <f t="array" ref="M160">ROUNDUP(Tabela1345[[#This Row],[NEW PRICE]]*eurofxref_daily[],2)</f>
        <v>133.54</v>
      </c>
      <c r="N160" s="502">
        <f>Tabela1345[[#This Row],[CAD PRICE]]*O160</f>
        <v>0</v>
      </c>
      <c r="O160" s="128">
        <f>SUM(Tabela1345[[#This Row],[RAL 1023]:[Custom made colour (7% add price)]])</f>
        <v>0</v>
      </c>
      <c r="P160" s="128">
        <f>Tabela1345[[#This Row],[Weight (kg)]]*Tabela1345[[#This Row],[PCS]]</f>
        <v>0</v>
      </c>
      <c r="Q160" s="397"/>
      <c r="R160" s="482"/>
      <c r="S160" s="486"/>
      <c r="T160" s="466"/>
      <c r="U160" s="435"/>
      <c r="V160" s="467"/>
      <c r="W160" s="468"/>
      <c r="X160" s="436"/>
      <c r="Y160" s="470"/>
      <c r="Z160" s="469"/>
      <c r="AA160" s="449"/>
      <c r="AB160" s="449"/>
      <c r="AC160" s="505"/>
    </row>
    <row r="161" spans="2:29" ht="12.75" customHeight="1" thickBot="1" x14ac:dyDescent="0.3">
      <c r="B161" s="247" t="s">
        <v>1597</v>
      </c>
      <c r="C161" s="115" t="s">
        <v>1585</v>
      </c>
      <c r="D161" s="248" t="s">
        <v>1597</v>
      </c>
      <c r="E161" s="112" t="s">
        <v>1682</v>
      </c>
      <c r="F161" s="111">
        <v>4</v>
      </c>
      <c r="G161" s="224">
        <v>91</v>
      </c>
      <c r="H161" s="224">
        <f>ROUNDUP(Tabela1345[[#This Row],[PRICE]]*(1+PRICES!$C$4),0)</f>
        <v>110</v>
      </c>
      <c r="I161" s="106" t="e">
        <f t="shared" ref="I161:I169" si="8">G161*J161</f>
        <v>#REF!</v>
      </c>
      <c r="J161" s="243" t="e">
        <f t="shared" ref="J161:J169" si="9">SUM(L161:W161)</f>
        <v>#REF!</v>
      </c>
      <c r="K161" s="243" t="e">
        <f>[1]!Tabela1345[[#This Row],[Weight (kg)]]*[1]!Tabela1345[[#This Row],[SETS]]</f>
        <v>#REF!</v>
      </c>
      <c r="L161" s="244" t="e">
        <f>Tabela1345[[#This Row],[PCS]]*Tabela1345[[#This Row],[PROMOTIONAL PRICE]]</f>
        <v>#REF!</v>
      </c>
      <c r="M161" s="497" cm="1">
        <f t="array" ref="M161">ROUNDUP(Tabela1345[[#This Row],[NEW PRICE]]*eurofxref_daily[],2)</f>
        <v>176.97</v>
      </c>
      <c r="N161" s="502">
        <f>Tabela1345[[#This Row],[CAD PRICE]]*O161</f>
        <v>0</v>
      </c>
      <c r="O161" s="128">
        <f>SUM(Tabela1345[[#This Row],[RAL 1023]:[Custom made colour (7% add price)]])</f>
        <v>0</v>
      </c>
      <c r="P161" s="128">
        <f>Tabela1345[[#This Row],[Weight (kg)]]*Tabela1345[[#This Row],[PCS]]</f>
        <v>0</v>
      </c>
      <c r="Q161" s="397"/>
      <c r="R161" s="482"/>
      <c r="S161" s="486"/>
      <c r="T161" s="466"/>
      <c r="U161" s="435"/>
      <c r="V161" s="467"/>
      <c r="W161" s="468"/>
      <c r="X161" s="436"/>
      <c r="Y161" s="470"/>
      <c r="Z161" s="469"/>
      <c r="AA161" s="449"/>
      <c r="AB161" s="449"/>
      <c r="AC161" s="505"/>
    </row>
    <row r="162" spans="2:29" ht="12.75" customHeight="1" thickBot="1" x14ac:dyDescent="0.3">
      <c r="B162" s="247" t="s">
        <v>1598</v>
      </c>
      <c r="C162" s="115" t="s">
        <v>1586</v>
      </c>
      <c r="D162" s="248" t="s">
        <v>1598</v>
      </c>
      <c r="E162" s="112" t="s">
        <v>1683</v>
      </c>
      <c r="F162" s="111">
        <v>4.2</v>
      </c>
      <c r="G162" s="224">
        <v>96</v>
      </c>
      <c r="H162" s="224">
        <f>ROUNDUP(Tabela1345[[#This Row],[PRICE]]*(1+PRICES!$C$4),0)</f>
        <v>116</v>
      </c>
      <c r="I162" s="106" t="e">
        <f t="shared" si="8"/>
        <v>#REF!</v>
      </c>
      <c r="J162" s="243" t="e">
        <f t="shared" si="9"/>
        <v>#REF!</v>
      </c>
      <c r="K162" s="243" t="e">
        <f>[1]!Tabela1345[[#This Row],[Weight (kg)]]*[1]!Tabela1345[[#This Row],[SETS]]</f>
        <v>#REF!</v>
      </c>
      <c r="L162" s="244" t="e">
        <f>Tabela1345[[#This Row],[PCS]]*Tabela1345[[#This Row],[PROMOTIONAL PRICE]]</f>
        <v>#REF!</v>
      </c>
      <c r="M162" s="497" cm="1">
        <f t="array" ref="M162">ROUNDUP(Tabela1345[[#This Row],[NEW PRICE]]*eurofxref_daily[],2)</f>
        <v>186.63</v>
      </c>
      <c r="N162" s="502">
        <f>Tabela1345[[#This Row],[CAD PRICE]]*O162</f>
        <v>0</v>
      </c>
      <c r="O162" s="128">
        <f>SUM(Tabela1345[[#This Row],[RAL 1023]:[Custom made colour (7% add price)]])</f>
        <v>0</v>
      </c>
      <c r="P162" s="128">
        <f>Tabela1345[[#This Row],[Weight (kg)]]*Tabela1345[[#This Row],[PCS]]</f>
        <v>0</v>
      </c>
      <c r="Q162" s="397"/>
      <c r="R162" s="482"/>
      <c r="S162" s="486"/>
      <c r="T162" s="466"/>
      <c r="U162" s="435"/>
      <c r="V162" s="467"/>
      <c r="W162" s="468"/>
      <c r="X162" s="436"/>
      <c r="Y162" s="470"/>
      <c r="Z162" s="469"/>
      <c r="AA162" s="449"/>
      <c r="AB162" s="449"/>
      <c r="AC162" s="505"/>
    </row>
    <row r="163" spans="2:29" ht="12.75" customHeight="1" thickBot="1" x14ac:dyDescent="0.3">
      <c r="B163" s="247" t="s">
        <v>1599</v>
      </c>
      <c r="C163" s="115" t="s">
        <v>1587</v>
      </c>
      <c r="D163" s="248" t="s">
        <v>1599</v>
      </c>
      <c r="E163" s="112" t="s">
        <v>1684</v>
      </c>
      <c r="F163" s="111">
        <v>2.1</v>
      </c>
      <c r="G163" s="224">
        <v>80</v>
      </c>
      <c r="H163" s="224">
        <f>ROUNDUP(Tabela1345[[#This Row],[PRICE]]*(1+PRICES!$C$4),0)</f>
        <v>96</v>
      </c>
      <c r="I163" s="106" t="e">
        <f t="shared" si="8"/>
        <v>#REF!</v>
      </c>
      <c r="J163" s="243" t="e">
        <f t="shared" si="9"/>
        <v>#REF!</v>
      </c>
      <c r="K163" s="243" t="e">
        <f>[1]!Tabela1345[[#This Row],[Weight (kg)]]*[1]!Tabela1345[[#This Row],[SETS]]</f>
        <v>#REF!</v>
      </c>
      <c r="L163" s="244" t="e">
        <f>Tabela1345[[#This Row],[PCS]]*Tabela1345[[#This Row],[PROMOTIONAL PRICE]]</f>
        <v>#REF!</v>
      </c>
      <c r="M163" s="497" cm="1">
        <f t="array" ref="M163">ROUNDUP(Tabela1345[[#This Row],[NEW PRICE]]*eurofxref_daily[],2)</f>
        <v>154.44999999999999</v>
      </c>
      <c r="N163" s="502">
        <f>Tabela1345[[#This Row],[CAD PRICE]]*O163</f>
        <v>0</v>
      </c>
      <c r="O163" s="128">
        <f>SUM(Tabela1345[[#This Row],[RAL 1023]:[Custom made colour (7% add price)]])</f>
        <v>0</v>
      </c>
      <c r="P163" s="128">
        <f>Tabela1345[[#This Row],[Weight (kg)]]*Tabela1345[[#This Row],[PCS]]</f>
        <v>0</v>
      </c>
      <c r="Q163" s="397"/>
      <c r="R163" s="482"/>
      <c r="S163" s="486"/>
      <c r="T163" s="466"/>
      <c r="U163" s="435"/>
      <c r="V163" s="467"/>
      <c r="W163" s="468"/>
      <c r="X163" s="436"/>
      <c r="Y163" s="470"/>
      <c r="Z163" s="469"/>
      <c r="AA163" s="449"/>
      <c r="AB163" s="449"/>
      <c r="AC163" s="505"/>
    </row>
    <row r="164" spans="2:29" ht="12.75" customHeight="1" thickBot="1" x14ac:dyDescent="0.3">
      <c r="B164" s="247" t="s">
        <v>1600</v>
      </c>
      <c r="C164" s="115" t="s">
        <v>1588</v>
      </c>
      <c r="D164" s="248" t="s">
        <v>1600</v>
      </c>
      <c r="E164" s="112" t="s">
        <v>1685</v>
      </c>
      <c r="F164" s="111">
        <v>2.2000000000000002</v>
      </c>
      <c r="G164" s="224">
        <v>121</v>
      </c>
      <c r="H164" s="224">
        <f>ROUNDUP(Tabela1345[[#This Row],[PRICE]]*(1+PRICES!$C$4),0)</f>
        <v>146</v>
      </c>
      <c r="I164" s="106" t="e">
        <f t="shared" si="8"/>
        <v>#REF!</v>
      </c>
      <c r="J164" s="243" t="e">
        <f t="shared" si="9"/>
        <v>#REF!</v>
      </c>
      <c r="K164" s="243" t="e">
        <f>[1]!Tabela1345[[#This Row],[Weight (kg)]]*[1]!Tabela1345[[#This Row],[SETS]]</f>
        <v>#REF!</v>
      </c>
      <c r="L164" s="244" t="e">
        <f>Tabela1345[[#This Row],[PCS]]*Tabela1345[[#This Row],[PROMOTIONAL PRICE]]</f>
        <v>#REF!</v>
      </c>
      <c r="M164" s="497" cm="1">
        <f t="array" ref="M164">ROUNDUP(Tabela1345[[#This Row],[NEW PRICE]]*eurofxref_daily[],2)</f>
        <v>234.89</v>
      </c>
      <c r="N164" s="502">
        <f>Tabela1345[[#This Row],[CAD PRICE]]*O164</f>
        <v>0</v>
      </c>
      <c r="O164" s="128">
        <f>SUM(Tabela1345[[#This Row],[RAL 1023]:[Custom made colour (7% add price)]])</f>
        <v>0</v>
      </c>
      <c r="P164" s="128">
        <f>Tabela1345[[#This Row],[Weight (kg)]]*Tabela1345[[#This Row],[PCS]]</f>
        <v>0</v>
      </c>
      <c r="Q164" s="397"/>
      <c r="R164" s="482"/>
      <c r="S164" s="486"/>
      <c r="T164" s="466"/>
      <c r="U164" s="435"/>
      <c r="V164" s="467"/>
      <c r="W164" s="468"/>
      <c r="X164" s="436"/>
      <c r="Y164" s="470"/>
      <c r="Z164" s="469"/>
      <c r="AA164" s="449"/>
      <c r="AB164" s="449"/>
      <c r="AC164" s="505"/>
    </row>
    <row r="165" spans="2:29" ht="12.75" customHeight="1" thickBot="1" x14ac:dyDescent="0.3">
      <c r="B165" s="247" t="s">
        <v>1601</v>
      </c>
      <c r="C165" s="115" t="s">
        <v>1589</v>
      </c>
      <c r="D165" s="248" t="s">
        <v>1601</v>
      </c>
      <c r="E165" s="112" t="s">
        <v>1686</v>
      </c>
      <c r="F165" s="111">
        <v>3</v>
      </c>
      <c r="G165" s="224">
        <v>133</v>
      </c>
      <c r="H165" s="224">
        <f>ROUNDUP(Tabela1345[[#This Row],[PRICE]]*(1+PRICES!$C$4),0)</f>
        <v>160</v>
      </c>
      <c r="I165" s="106" t="e">
        <f t="shared" si="8"/>
        <v>#REF!</v>
      </c>
      <c r="J165" s="243" t="e">
        <f t="shared" si="9"/>
        <v>#REF!</v>
      </c>
      <c r="K165" s="243" t="e">
        <f>[1]!Tabela1345[[#This Row],[Weight (kg)]]*[1]!Tabela1345[[#This Row],[SETS]]</f>
        <v>#REF!</v>
      </c>
      <c r="L165" s="244" t="e">
        <f>Tabela1345[[#This Row],[PCS]]*Tabela1345[[#This Row],[PROMOTIONAL PRICE]]</f>
        <v>#REF!</v>
      </c>
      <c r="M165" s="497" cm="1">
        <f t="array" ref="M165">ROUNDUP(Tabela1345[[#This Row],[NEW PRICE]]*eurofxref_daily[],2)</f>
        <v>257.40999999999997</v>
      </c>
      <c r="N165" s="502">
        <f>Tabela1345[[#This Row],[CAD PRICE]]*O165</f>
        <v>0</v>
      </c>
      <c r="O165" s="128">
        <f>SUM(Tabela1345[[#This Row],[RAL 1023]:[Custom made colour (7% add price)]])</f>
        <v>0</v>
      </c>
      <c r="P165" s="128">
        <f>Tabela1345[[#This Row],[Weight (kg)]]*Tabela1345[[#This Row],[PCS]]</f>
        <v>0</v>
      </c>
      <c r="Q165" s="397"/>
      <c r="R165" s="482"/>
      <c r="S165" s="486"/>
      <c r="T165" s="466"/>
      <c r="U165" s="435"/>
      <c r="V165" s="467"/>
      <c r="W165" s="468"/>
      <c r="X165" s="436"/>
      <c r="Y165" s="470"/>
      <c r="Z165" s="469"/>
      <c r="AA165" s="449"/>
      <c r="AB165" s="449"/>
      <c r="AC165" s="505"/>
    </row>
    <row r="166" spans="2:29" ht="12.75" customHeight="1" thickBot="1" x14ac:dyDescent="0.3">
      <c r="B166" s="247" t="s">
        <v>1602</v>
      </c>
      <c r="C166" s="115" t="s">
        <v>1590</v>
      </c>
      <c r="D166" s="248" t="s">
        <v>1602</v>
      </c>
      <c r="E166" s="112" t="s">
        <v>1687</v>
      </c>
      <c r="F166" s="111">
        <v>2</v>
      </c>
      <c r="G166" s="224">
        <v>186</v>
      </c>
      <c r="H166" s="224">
        <f>ROUNDUP(Tabela1345[[#This Row],[PRICE]]*(1+PRICES!$C$4),0)</f>
        <v>224</v>
      </c>
      <c r="I166" s="106" t="e">
        <f t="shared" si="8"/>
        <v>#REF!</v>
      </c>
      <c r="J166" s="243" t="e">
        <f t="shared" si="9"/>
        <v>#REF!</v>
      </c>
      <c r="K166" s="243" t="e">
        <f>[1]!Tabela1345[[#This Row],[Weight (kg)]]*[1]!Tabela1345[[#This Row],[SETS]]</f>
        <v>#REF!</v>
      </c>
      <c r="L166" s="244" t="e">
        <f>Tabela1345[[#This Row],[PCS]]*Tabela1345[[#This Row],[PROMOTIONAL PRICE]]</f>
        <v>#REF!</v>
      </c>
      <c r="M166" s="497" cm="1">
        <f t="array" ref="M166">ROUNDUP(Tabela1345[[#This Row],[NEW PRICE]]*eurofxref_daily[],2)</f>
        <v>360.38</v>
      </c>
      <c r="N166" s="502">
        <f>Tabela1345[[#This Row],[CAD PRICE]]*O166</f>
        <v>0</v>
      </c>
      <c r="O166" s="128">
        <f>SUM(Tabela1345[[#This Row],[RAL 1023]:[Custom made colour (7% add price)]])</f>
        <v>0</v>
      </c>
      <c r="P166" s="128">
        <f>Tabela1345[[#This Row],[Weight (kg)]]*Tabela1345[[#This Row],[PCS]]</f>
        <v>0</v>
      </c>
      <c r="Q166" s="397"/>
      <c r="R166" s="482"/>
      <c r="S166" s="486"/>
      <c r="T166" s="466"/>
      <c r="U166" s="435"/>
      <c r="V166" s="467"/>
      <c r="W166" s="468"/>
      <c r="X166" s="436"/>
      <c r="Y166" s="470"/>
      <c r="Z166" s="469"/>
      <c r="AA166" s="449"/>
      <c r="AB166" s="449"/>
      <c r="AC166" s="505"/>
    </row>
    <row r="167" spans="2:29" ht="12.75" customHeight="1" thickBot="1" x14ac:dyDescent="0.3">
      <c r="B167" s="247" t="s">
        <v>1603</v>
      </c>
      <c r="C167" s="115" t="s">
        <v>1591</v>
      </c>
      <c r="D167" s="248" t="s">
        <v>1603</v>
      </c>
      <c r="E167" s="112" t="s">
        <v>1688</v>
      </c>
      <c r="F167" s="111">
        <v>2.6</v>
      </c>
      <c r="G167" s="224">
        <v>186</v>
      </c>
      <c r="H167" s="224">
        <f>ROUNDUP(Tabela1345[[#This Row],[PRICE]]*(1+PRICES!$C$4),0)</f>
        <v>224</v>
      </c>
      <c r="I167" s="106" t="e">
        <f t="shared" si="8"/>
        <v>#REF!</v>
      </c>
      <c r="J167" s="243" t="e">
        <f t="shared" si="9"/>
        <v>#REF!</v>
      </c>
      <c r="K167" s="243" t="e">
        <f>[1]!Tabela1345[[#This Row],[Weight (kg)]]*[1]!Tabela1345[[#This Row],[SETS]]</f>
        <v>#REF!</v>
      </c>
      <c r="L167" s="244" t="e">
        <f>Tabela1345[[#This Row],[PCS]]*Tabela1345[[#This Row],[PROMOTIONAL PRICE]]</f>
        <v>#REF!</v>
      </c>
      <c r="M167" s="497" cm="1">
        <f t="array" ref="M167">ROUNDUP(Tabela1345[[#This Row],[NEW PRICE]]*eurofxref_daily[],2)</f>
        <v>360.38</v>
      </c>
      <c r="N167" s="502">
        <f>Tabela1345[[#This Row],[CAD PRICE]]*O167</f>
        <v>0</v>
      </c>
      <c r="O167" s="128">
        <f>SUM(Tabela1345[[#This Row],[RAL 1023]:[Custom made colour (7% add price)]])</f>
        <v>0</v>
      </c>
      <c r="P167" s="128">
        <f>Tabela1345[[#This Row],[Weight (kg)]]*Tabela1345[[#This Row],[PCS]]</f>
        <v>0</v>
      </c>
      <c r="Q167" s="397"/>
      <c r="R167" s="482"/>
      <c r="S167" s="486"/>
      <c r="T167" s="466"/>
      <c r="U167" s="435"/>
      <c r="V167" s="467"/>
      <c r="W167" s="468"/>
      <c r="X167" s="436"/>
      <c r="Y167" s="470"/>
      <c r="Z167" s="469"/>
      <c r="AA167" s="449"/>
      <c r="AB167" s="449"/>
      <c r="AC167" s="505"/>
    </row>
    <row r="168" spans="2:29" ht="12.75" customHeight="1" thickBot="1" x14ac:dyDescent="0.3">
      <c r="B168" s="247" t="s">
        <v>1604</v>
      </c>
      <c r="C168" s="115" t="s">
        <v>1592</v>
      </c>
      <c r="D168" s="248" t="s">
        <v>1604</v>
      </c>
      <c r="E168" s="112" t="s">
        <v>1689</v>
      </c>
      <c r="F168" s="111">
        <v>1.8</v>
      </c>
      <c r="G168" s="224">
        <v>186</v>
      </c>
      <c r="H168" s="224">
        <f>ROUNDUP(Tabela1345[[#This Row],[PRICE]]*(1+PRICES!$C$4),0)</f>
        <v>224</v>
      </c>
      <c r="I168" s="106" t="e">
        <f t="shared" si="8"/>
        <v>#REF!</v>
      </c>
      <c r="J168" s="243" t="e">
        <f t="shared" si="9"/>
        <v>#REF!</v>
      </c>
      <c r="K168" s="243" t="e">
        <f>[1]!Tabela1345[[#This Row],[Weight (kg)]]*[1]!Tabela1345[[#This Row],[SETS]]</f>
        <v>#REF!</v>
      </c>
      <c r="L168" s="244" t="e">
        <f>Tabela1345[[#This Row],[PCS]]*Tabela1345[[#This Row],[PROMOTIONAL PRICE]]</f>
        <v>#REF!</v>
      </c>
      <c r="M168" s="497" cm="1">
        <f t="array" ref="M168">ROUNDUP(Tabela1345[[#This Row],[NEW PRICE]]*eurofxref_daily[],2)</f>
        <v>360.38</v>
      </c>
      <c r="N168" s="502">
        <f>Tabela1345[[#This Row],[CAD PRICE]]*O168</f>
        <v>0</v>
      </c>
      <c r="O168" s="128">
        <f>SUM(Tabela1345[[#This Row],[RAL 1023]:[Custom made colour (7% add price)]])</f>
        <v>0</v>
      </c>
      <c r="P168" s="128">
        <f>Tabela1345[[#This Row],[Weight (kg)]]*Tabela1345[[#This Row],[PCS]]</f>
        <v>0</v>
      </c>
      <c r="Q168" s="397"/>
      <c r="R168" s="482"/>
      <c r="S168" s="486"/>
      <c r="T168" s="466"/>
      <c r="U168" s="435"/>
      <c r="V168" s="467"/>
      <c r="W168" s="468"/>
      <c r="X168" s="436"/>
      <c r="Y168" s="470"/>
      <c r="Z168" s="469"/>
      <c r="AA168" s="449"/>
      <c r="AB168" s="449"/>
      <c r="AC168" s="505"/>
    </row>
    <row r="169" spans="2:29" ht="12.75" customHeight="1" thickBot="1" x14ac:dyDescent="0.3">
      <c r="B169" s="247" t="s">
        <v>1605</v>
      </c>
      <c r="C169" s="115" t="s">
        <v>1593</v>
      </c>
      <c r="D169" s="248" t="s">
        <v>1605</v>
      </c>
      <c r="E169" s="112" t="s">
        <v>1690</v>
      </c>
      <c r="F169" s="111">
        <v>2.9</v>
      </c>
      <c r="G169" s="224">
        <v>154</v>
      </c>
      <c r="H169" s="224">
        <f>ROUNDUP(Tabela1345[[#This Row],[PRICE]]*(1+PRICES!$C$4),0)</f>
        <v>185</v>
      </c>
      <c r="I169" s="107" t="e">
        <f t="shared" si="8"/>
        <v>#REF!</v>
      </c>
      <c r="J169" s="245" t="e">
        <f t="shared" si="9"/>
        <v>#REF!</v>
      </c>
      <c r="K169" s="245" t="e">
        <f>[1]!Tabela1345[[#This Row],[Weight (kg)]]*[1]!Tabela1345[[#This Row],[SETS]]</f>
        <v>#REF!</v>
      </c>
      <c r="L169" s="246" t="e">
        <f>Tabela1345[[#This Row],[PCS]]*Tabela1345[[#This Row],[PROMOTIONAL PRICE]]</f>
        <v>#REF!</v>
      </c>
      <c r="M169" s="497" cm="1">
        <f t="array" ref="M169">ROUNDUP(Tabela1345[[#This Row],[NEW PRICE]]*eurofxref_daily[],2)</f>
        <v>297.63</v>
      </c>
      <c r="N169" s="502">
        <f>Tabela1345[[#This Row],[CAD PRICE]]*O169</f>
        <v>0</v>
      </c>
      <c r="O169" s="150">
        <f>SUM(Tabela1345[[#This Row],[RAL 1023]:[Custom made colour (7% add price)]])</f>
        <v>0</v>
      </c>
      <c r="P169" s="150">
        <f>Tabela1345[[#This Row],[Weight (kg)]]*Tabela1345[[#This Row],[PCS]]</f>
        <v>0</v>
      </c>
      <c r="Q169" s="398"/>
      <c r="R169" s="482"/>
      <c r="S169" s="486"/>
      <c r="T169" s="466"/>
      <c r="U169" s="435"/>
      <c r="V169" s="467"/>
      <c r="W169" s="468"/>
      <c r="X169" s="436"/>
      <c r="Y169" s="470"/>
      <c r="Z169" s="469"/>
      <c r="AA169" s="449"/>
      <c r="AB169" s="449"/>
      <c r="AC169" s="505"/>
    </row>
    <row r="170" spans="2:29" ht="12.75" customHeight="1" thickBot="1" x14ac:dyDescent="0.3">
      <c r="B170" s="247" t="s">
        <v>1606</v>
      </c>
      <c r="C170" s="115" t="s">
        <v>1594</v>
      </c>
      <c r="D170" s="248" t="s">
        <v>1606</v>
      </c>
      <c r="E170" s="48" t="s">
        <v>1691</v>
      </c>
      <c r="F170" s="47">
        <v>2.8</v>
      </c>
      <c r="G170" s="224">
        <v>218</v>
      </c>
      <c r="H170" s="224">
        <f>ROUNDUP(Tabela1345[[#This Row],[PRICE]]*(1+PRICES!$C$4),0)</f>
        <v>262</v>
      </c>
      <c r="I170" s="49"/>
      <c r="J170" s="49">
        <f>Tabela1345[[#This Row],[PRICE]]*Tabela1345[[#This Row],[DISCOUNT per piece '[%']]]</f>
        <v>0</v>
      </c>
      <c r="K170" s="49">
        <f>Tabela1345[[#This Row],[PRICE]]*(1-Tabela1345[[#This Row],[DISCOUNT per piece '[%']]])</f>
        <v>218</v>
      </c>
      <c r="L170" s="49">
        <f>Tabela1345[[#This Row],[PCS]]*Tabela1345[[#This Row],[PROMOTIONAL PRICE]]</f>
        <v>0</v>
      </c>
      <c r="M170" s="497" cm="1">
        <f t="array" ref="M170">ROUNDUP(Tabela1345[[#This Row],[NEW PRICE]]*eurofxref_daily[],2)</f>
        <v>421.51</v>
      </c>
      <c r="N170" s="502">
        <f>Tabela1345[[#This Row],[CAD PRICE]]*O170</f>
        <v>0</v>
      </c>
      <c r="O170" s="128">
        <f>SUM(R170:AC170)</f>
        <v>0</v>
      </c>
      <c r="P170" s="128">
        <f>O170*F170</f>
        <v>0</v>
      </c>
      <c r="Q170" s="393"/>
      <c r="R170" s="482"/>
      <c r="S170" s="486"/>
      <c r="T170" s="466"/>
      <c r="U170" s="435"/>
      <c r="V170" s="467"/>
      <c r="W170" s="468"/>
      <c r="X170" s="436"/>
      <c r="Y170" s="470"/>
      <c r="Z170" s="469"/>
      <c r="AA170" s="449"/>
      <c r="AB170" s="449"/>
      <c r="AC170" s="503"/>
    </row>
    <row r="171" spans="2:29" ht="12.75" customHeight="1" x14ac:dyDescent="0.25">
      <c r="B171" s="247" t="s">
        <v>1607</v>
      </c>
      <c r="C171" s="115" t="s">
        <v>1595</v>
      </c>
      <c r="D171" s="248" t="s">
        <v>1607</v>
      </c>
      <c r="E171" s="48" t="s">
        <v>1692</v>
      </c>
      <c r="F171" s="47">
        <v>3.7</v>
      </c>
      <c r="G171" s="224">
        <v>276</v>
      </c>
      <c r="H171" s="224">
        <f>ROUNDUP(Tabela1345[[#This Row],[PRICE]]*(1+PRICES!$C$4),0)</f>
        <v>332</v>
      </c>
      <c r="I171" s="49"/>
      <c r="J171" s="49">
        <f>Tabela1345[[#This Row],[PRICE]]*Tabela1345[[#This Row],[DISCOUNT per piece '[%']]]</f>
        <v>0</v>
      </c>
      <c r="K171" s="49">
        <f>Tabela1345[[#This Row],[PRICE]]*(1-Tabela1345[[#This Row],[DISCOUNT per piece '[%']]])</f>
        <v>276</v>
      </c>
      <c r="L171" s="49">
        <f>Tabela1345[[#This Row],[PCS]]*Tabela1345[[#This Row],[PROMOTIONAL PRICE]]</f>
        <v>0</v>
      </c>
      <c r="M171" s="497" cm="1">
        <f t="array" ref="M171">ROUNDUP(Tabela1345[[#This Row],[NEW PRICE]]*eurofxref_daily[],2)</f>
        <v>534.13</v>
      </c>
      <c r="N171" s="502">
        <f>Tabela1345[[#This Row],[CAD PRICE]]*O171</f>
        <v>0</v>
      </c>
      <c r="O171" s="150">
        <f>SUM(R171:AC171)</f>
        <v>0</v>
      </c>
      <c r="P171" s="128">
        <f>O171*F171</f>
        <v>0</v>
      </c>
      <c r="Q171" s="393"/>
      <c r="R171" s="482"/>
      <c r="S171" s="486"/>
      <c r="T171" s="466"/>
      <c r="U171" s="435"/>
      <c r="V171" s="467"/>
      <c r="W171" s="468"/>
      <c r="X171" s="436"/>
      <c r="Y171" s="470"/>
      <c r="Z171" s="469"/>
      <c r="AA171" s="449"/>
      <c r="AB171" s="449"/>
      <c r="AC171" s="505"/>
    </row>
    <row r="172" spans="2:29" ht="15.75" thickBot="1" x14ac:dyDescent="0.3">
      <c r="B172" s="346"/>
      <c r="C172" s="343" t="s">
        <v>1870</v>
      </c>
      <c r="D172" s="347"/>
      <c r="E172" s="345"/>
      <c r="F172" s="344"/>
      <c r="G172" s="358"/>
      <c r="H172" s="348"/>
      <c r="I172" s="348"/>
      <c r="J172" s="348"/>
      <c r="K172" s="348"/>
      <c r="L172" s="348"/>
      <c r="M172" s="124"/>
      <c r="N172" s="124"/>
      <c r="O172" s="365"/>
      <c r="P172" s="385">
        <f t="shared" ref="P172:P182" si="10">O172*F172</f>
        <v>0</v>
      </c>
      <c r="Q172" s="392"/>
      <c r="R172" s="399"/>
      <c r="S172" s="392"/>
      <c r="T172" s="399"/>
      <c r="U172" s="399"/>
      <c r="V172" s="399"/>
      <c r="W172" s="399"/>
      <c r="X172" s="399"/>
      <c r="Y172" s="399"/>
      <c r="Z172" s="461"/>
      <c r="AA172" s="461"/>
      <c r="AB172" s="461"/>
      <c r="AC172" s="461"/>
    </row>
    <row r="173" spans="2:29" ht="15.75" thickBot="1" x14ac:dyDescent="0.3">
      <c r="B173" s="351" t="s">
        <v>1871</v>
      </c>
      <c r="C173" s="46" t="s">
        <v>1872</v>
      </c>
      <c r="D173" s="47" t="s">
        <v>1871</v>
      </c>
      <c r="E173" s="48" t="s">
        <v>1873</v>
      </c>
      <c r="F173" s="47">
        <v>1.2</v>
      </c>
      <c r="G173" s="224">
        <v>101</v>
      </c>
      <c r="H173" s="224">
        <f>ROUNDUP(Tabela1345[[#This Row],[PRICE]]*(1+PRICES!$C$4),0)</f>
        <v>122</v>
      </c>
      <c r="I173" s="49"/>
      <c r="J173" s="49">
        <f>Tabela1345[[#This Row],[PRICE]]*Tabela1345[[#This Row],[DISCOUNT per piece '[%']]]</f>
        <v>0</v>
      </c>
      <c r="K173" s="49">
        <f>Tabela1345[[#This Row],[PRICE]]*(1-Tabela1345[[#This Row],[DISCOUNT per piece '[%']]])</f>
        <v>101</v>
      </c>
      <c r="L173" s="49">
        <f>Tabela1345[[#This Row],[PCS]]*Tabela1345[[#This Row],[PROMOTIONAL PRICE]]</f>
        <v>0</v>
      </c>
      <c r="M173" s="497" cm="1">
        <f t="array" ref="M173">ROUNDUP(Tabela1345[[#This Row],[NEW PRICE]]*eurofxref_daily[],2)</f>
        <v>196.28</v>
      </c>
      <c r="N173" s="502">
        <f>Tabela1345[[#This Row],[CAD PRICE]]*O173</f>
        <v>0</v>
      </c>
      <c r="O173" s="355">
        <f t="shared" ref="O173:O182" si="11">SUM(R173:AC173)</f>
        <v>0</v>
      </c>
      <c r="P173" s="128">
        <f t="shared" si="10"/>
        <v>0</v>
      </c>
      <c r="Q173" s="393"/>
      <c r="R173" s="482"/>
      <c r="S173" s="486"/>
      <c r="T173" s="466"/>
      <c r="U173" s="435"/>
      <c r="V173" s="467"/>
      <c r="W173" s="468"/>
      <c r="X173" s="436"/>
      <c r="Y173" s="470"/>
      <c r="Z173" s="469"/>
      <c r="AA173" s="449"/>
      <c r="AB173" s="449"/>
      <c r="AC173" s="505"/>
    </row>
    <row r="174" spans="2:29" ht="15.75" thickBot="1" x14ac:dyDescent="0.3">
      <c r="B174" s="351" t="s">
        <v>1874</v>
      </c>
      <c r="C174" s="46" t="s">
        <v>1875</v>
      </c>
      <c r="D174" s="47" t="s">
        <v>1874</v>
      </c>
      <c r="E174" s="48" t="s">
        <v>1876</v>
      </c>
      <c r="F174" s="47">
        <v>1.6</v>
      </c>
      <c r="G174" s="224">
        <v>112</v>
      </c>
      <c r="H174" s="224">
        <f>ROUNDUP(Tabela1345[[#This Row],[PRICE]]*(1+PRICES!$C$4),0)</f>
        <v>135</v>
      </c>
      <c r="I174" s="49"/>
      <c r="J174" s="49">
        <f>Tabela1345[[#This Row],[PRICE]]*Tabela1345[[#This Row],[DISCOUNT per piece '[%']]]</f>
        <v>0</v>
      </c>
      <c r="K174" s="49">
        <f>Tabela1345[[#This Row],[PRICE]]*(1-Tabela1345[[#This Row],[DISCOUNT per piece '[%']]])</f>
        <v>112</v>
      </c>
      <c r="L174" s="49">
        <f>Tabela1345[[#This Row],[PCS]]*Tabela1345[[#This Row],[PROMOTIONAL PRICE]]</f>
        <v>0</v>
      </c>
      <c r="M174" s="497" cm="1">
        <f t="array" ref="M174">ROUNDUP(Tabela1345[[#This Row],[NEW PRICE]]*eurofxref_daily[],2)</f>
        <v>217.19</v>
      </c>
      <c r="N174" s="502">
        <f>Tabela1345[[#This Row],[CAD PRICE]]*O174</f>
        <v>0</v>
      </c>
      <c r="O174" s="128">
        <f t="shared" si="11"/>
        <v>0</v>
      </c>
      <c r="P174" s="128">
        <f t="shared" si="10"/>
        <v>0</v>
      </c>
      <c r="Q174" s="393"/>
      <c r="R174" s="482"/>
      <c r="S174" s="486"/>
      <c r="T174" s="466"/>
      <c r="U174" s="435"/>
      <c r="V174" s="467"/>
      <c r="W174" s="468"/>
      <c r="X174" s="436"/>
      <c r="Y174" s="470"/>
      <c r="Z174" s="469"/>
      <c r="AA174" s="449"/>
      <c r="AB174" s="449"/>
      <c r="AC174" s="505"/>
    </row>
    <row r="175" spans="2:29" ht="15.75" thickBot="1" x14ac:dyDescent="0.3">
      <c r="B175" s="351" t="s">
        <v>1877</v>
      </c>
      <c r="C175" s="46" t="s">
        <v>1878</v>
      </c>
      <c r="D175" s="47" t="s">
        <v>1877</v>
      </c>
      <c r="E175" s="48" t="s">
        <v>1879</v>
      </c>
      <c r="F175" s="47">
        <v>2.2000000000000002</v>
      </c>
      <c r="G175" s="224">
        <v>117</v>
      </c>
      <c r="H175" s="224">
        <f>ROUNDUP(Tabela1345[[#This Row],[PRICE]]*(1+PRICES!$C$4),0)</f>
        <v>141</v>
      </c>
      <c r="I175" s="49"/>
      <c r="J175" s="49">
        <f>Tabela1345[[#This Row],[PRICE]]*Tabela1345[[#This Row],[DISCOUNT per piece '[%']]]</f>
        <v>0</v>
      </c>
      <c r="K175" s="49">
        <f>Tabela1345[[#This Row],[PRICE]]*(1-Tabela1345[[#This Row],[DISCOUNT per piece '[%']]])</f>
        <v>117</v>
      </c>
      <c r="L175" s="49">
        <f>Tabela1345[[#This Row],[PCS]]*Tabela1345[[#This Row],[PROMOTIONAL PRICE]]</f>
        <v>0</v>
      </c>
      <c r="M175" s="497" cm="1">
        <f t="array" ref="M175">ROUNDUP(Tabela1345[[#This Row],[NEW PRICE]]*eurofxref_daily[],2)</f>
        <v>226.85</v>
      </c>
      <c r="N175" s="502">
        <f>Tabela1345[[#This Row],[CAD PRICE]]*O175</f>
        <v>0</v>
      </c>
      <c r="O175" s="128">
        <f t="shared" si="11"/>
        <v>0</v>
      </c>
      <c r="P175" s="128">
        <f t="shared" si="10"/>
        <v>0</v>
      </c>
      <c r="Q175" s="393"/>
      <c r="R175" s="482"/>
      <c r="S175" s="486"/>
      <c r="T175" s="466"/>
      <c r="U175" s="435"/>
      <c r="V175" s="467"/>
      <c r="W175" s="468"/>
      <c r="X175" s="436"/>
      <c r="Y175" s="470"/>
      <c r="Z175" s="469"/>
      <c r="AA175" s="449"/>
      <c r="AB175" s="449"/>
      <c r="AC175" s="505"/>
    </row>
    <row r="176" spans="2:29" ht="15.75" thickBot="1" x14ac:dyDescent="0.3">
      <c r="B176" s="351" t="s">
        <v>1880</v>
      </c>
      <c r="C176" s="46" t="s">
        <v>1881</v>
      </c>
      <c r="D176" s="47" t="s">
        <v>1880</v>
      </c>
      <c r="E176" s="48" t="s">
        <v>1882</v>
      </c>
      <c r="F176" s="47">
        <v>1.8</v>
      </c>
      <c r="G176" s="224">
        <v>122</v>
      </c>
      <c r="H176" s="224">
        <f>ROUNDUP(Tabela1345[[#This Row],[PRICE]]*(1+PRICES!$C$4),0)</f>
        <v>147</v>
      </c>
      <c r="I176" s="49"/>
      <c r="J176" s="49">
        <f>Tabela1345[[#This Row],[PRICE]]*Tabela1345[[#This Row],[DISCOUNT per piece '[%']]]</f>
        <v>0</v>
      </c>
      <c r="K176" s="49">
        <f>Tabela1345[[#This Row],[PRICE]]*(1-Tabela1345[[#This Row],[DISCOUNT per piece '[%']]])</f>
        <v>122</v>
      </c>
      <c r="L176" s="49">
        <f>Tabela1345[[#This Row],[PCS]]*Tabela1345[[#This Row],[PROMOTIONAL PRICE]]</f>
        <v>0</v>
      </c>
      <c r="M176" s="497" cm="1">
        <f t="array" ref="M176">ROUNDUP(Tabela1345[[#This Row],[NEW PRICE]]*eurofxref_daily[],2)</f>
        <v>236.5</v>
      </c>
      <c r="N176" s="502">
        <f>Tabela1345[[#This Row],[CAD PRICE]]*O176</f>
        <v>0</v>
      </c>
      <c r="O176" s="128">
        <f t="shared" si="11"/>
        <v>0</v>
      </c>
      <c r="P176" s="128">
        <f t="shared" si="10"/>
        <v>0</v>
      </c>
      <c r="Q176" s="393"/>
      <c r="R176" s="482"/>
      <c r="S176" s="486"/>
      <c r="T176" s="466"/>
      <c r="U176" s="435"/>
      <c r="V176" s="467"/>
      <c r="W176" s="468"/>
      <c r="X176" s="436"/>
      <c r="Y176" s="470"/>
      <c r="Z176" s="469"/>
      <c r="AA176" s="449"/>
      <c r="AB176" s="449"/>
      <c r="AC176" s="505"/>
    </row>
    <row r="177" spans="2:29" ht="15.75" thickBot="1" x14ac:dyDescent="0.3">
      <c r="B177" s="351" t="s">
        <v>1883</v>
      </c>
      <c r="C177" s="46" t="s">
        <v>1884</v>
      </c>
      <c r="D177" s="47" t="s">
        <v>1883</v>
      </c>
      <c r="E177" s="48" t="s">
        <v>1885</v>
      </c>
      <c r="F177" s="47">
        <v>2</v>
      </c>
      <c r="G177" s="224">
        <v>144</v>
      </c>
      <c r="H177" s="224">
        <f>ROUNDUP(Tabela1345[[#This Row],[PRICE]]*(1+PRICES!$C$4),0)</f>
        <v>173</v>
      </c>
      <c r="I177" s="49"/>
      <c r="J177" s="49">
        <f>Tabela1345[[#This Row],[PRICE]]*Tabela1345[[#This Row],[DISCOUNT per piece '[%']]]</f>
        <v>0</v>
      </c>
      <c r="K177" s="49">
        <f>Tabela1345[[#This Row],[PRICE]]*(1-Tabela1345[[#This Row],[DISCOUNT per piece '[%']]])</f>
        <v>144</v>
      </c>
      <c r="L177" s="49">
        <f>Tabela1345[[#This Row],[PCS]]*Tabela1345[[#This Row],[PROMOTIONAL PRICE]]</f>
        <v>0</v>
      </c>
      <c r="M177" s="497" cm="1">
        <f t="array" ref="M177">ROUNDUP(Tabela1345[[#This Row],[NEW PRICE]]*eurofxref_daily[],2)</f>
        <v>278.33</v>
      </c>
      <c r="N177" s="502">
        <f>Tabela1345[[#This Row],[CAD PRICE]]*O177</f>
        <v>0</v>
      </c>
      <c r="O177" s="128">
        <f t="shared" si="11"/>
        <v>0</v>
      </c>
      <c r="P177" s="128">
        <f t="shared" si="10"/>
        <v>0</v>
      </c>
      <c r="Q177" s="393"/>
      <c r="R177" s="482"/>
      <c r="S177" s="486"/>
      <c r="T177" s="466"/>
      <c r="U177" s="435"/>
      <c r="V177" s="467"/>
      <c r="W177" s="468"/>
      <c r="X177" s="436"/>
      <c r="Y177" s="470"/>
      <c r="Z177" s="469"/>
      <c r="AA177" s="449"/>
      <c r="AB177" s="449"/>
      <c r="AC177" s="505"/>
    </row>
    <row r="178" spans="2:29" ht="15.75" thickBot="1" x14ac:dyDescent="0.3">
      <c r="B178" s="351" t="s">
        <v>1886</v>
      </c>
      <c r="C178" s="46" t="s">
        <v>1887</v>
      </c>
      <c r="D178" s="47" t="s">
        <v>1886</v>
      </c>
      <c r="E178" s="48" t="s">
        <v>1888</v>
      </c>
      <c r="F178" s="47">
        <v>2</v>
      </c>
      <c r="G178" s="224">
        <v>154</v>
      </c>
      <c r="H178" s="224">
        <f>ROUNDUP(Tabela1345[[#This Row],[PRICE]]*(1+PRICES!$C$4),0)</f>
        <v>185</v>
      </c>
      <c r="I178" s="49"/>
      <c r="J178" s="49">
        <f>Tabela1345[[#This Row],[PRICE]]*Tabela1345[[#This Row],[DISCOUNT per piece '[%']]]</f>
        <v>0</v>
      </c>
      <c r="K178" s="49">
        <f>Tabela1345[[#This Row],[PRICE]]*(1-Tabela1345[[#This Row],[DISCOUNT per piece '[%']]])</f>
        <v>154</v>
      </c>
      <c r="L178" s="49">
        <f>Tabela1345[[#This Row],[PCS]]*Tabela1345[[#This Row],[PROMOTIONAL PRICE]]</f>
        <v>0</v>
      </c>
      <c r="M178" s="497" cm="1">
        <f t="array" ref="M178">ROUNDUP(Tabela1345[[#This Row],[NEW PRICE]]*eurofxref_daily[],2)</f>
        <v>297.63</v>
      </c>
      <c r="N178" s="502">
        <f>Tabela1345[[#This Row],[CAD PRICE]]*O178</f>
        <v>0</v>
      </c>
      <c r="O178" s="128">
        <f t="shared" si="11"/>
        <v>0</v>
      </c>
      <c r="P178" s="128">
        <f t="shared" si="10"/>
        <v>0</v>
      </c>
      <c r="Q178" s="393"/>
      <c r="R178" s="482"/>
      <c r="S178" s="486"/>
      <c r="T178" s="466"/>
      <c r="U178" s="435"/>
      <c r="V178" s="467"/>
      <c r="W178" s="468"/>
      <c r="X178" s="436"/>
      <c r="Y178" s="470"/>
      <c r="Z178" s="469"/>
      <c r="AA178" s="449"/>
      <c r="AB178" s="449"/>
      <c r="AC178" s="505"/>
    </row>
    <row r="179" spans="2:29" ht="15.75" thickBot="1" x14ac:dyDescent="0.3">
      <c r="B179" s="351" t="s">
        <v>1889</v>
      </c>
      <c r="C179" s="46" t="s">
        <v>1890</v>
      </c>
      <c r="D179" s="47" t="s">
        <v>1889</v>
      </c>
      <c r="E179" s="48" t="s">
        <v>1891</v>
      </c>
      <c r="F179" s="47">
        <v>2.2000000000000002</v>
      </c>
      <c r="G179" s="224">
        <v>159</v>
      </c>
      <c r="H179" s="224">
        <f>ROUNDUP(Tabela1345[[#This Row],[PRICE]]*(1+PRICES!$C$4),0)</f>
        <v>191</v>
      </c>
      <c r="I179" s="49"/>
      <c r="J179" s="49">
        <f>Tabela1345[[#This Row],[PRICE]]*Tabela1345[[#This Row],[DISCOUNT per piece '[%']]]</f>
        <v>0</v>
      </c>
      <c r="K179" s="49">
        <f>Tabela1345[[#This Row],[PRICE]]*(1-Tabela1345[[#This Row],[DISCOUNT per piece '[%']]])</f>
        <v>159</v>
      </c>
      <c r="L179" s="49">
        <f>Tabela1345[[#This Row],[PCS]]*Tabela1345[[#This Row],[PROMOTIONAL PRICE]]</f>
        <v>0</v>
      </c>
      <c r="M179" s="497" cm="1">
        <f t="array" ref="M179">ROUNDUP(Tabela1345[[#This Row],[NEW PRICE]]*eurofxref_daily[],2)</f>
        <v>307.28999999999996</v>
      </c>
      <c r="N179" s="502">
        <f>Tabela1345[[#This Row],[CAD PRICE]]*O179</f>
        <v>0</v>
      </c>
      <c r="O179" s="128">
        <f t="shared" si="11"/>
        <v>0</v>
      </c>
      <c r="P179" s="128">
        <f t="shared" si="10"/>
        <v>0</v>
      </c>
      <c r="Q179" s="393"/>
      <c r="R179" s="482"/>
      <c r="S179" s="486"/>
      <c r="T179" s="466"/>
      <c r="U179" s="435"/>
      <c r="V179" s="467"/>
      <c r="W179" s="468"/>
      <c r="X179" s="436"/>
      <c r="Y179" s="470"/>
      <c r="Z179" s="469"/>
      <c r="AA179" s="449"/>
      <c r="AB179" s="449"/>
      <c r="AC179" s="505"/>
    </row>
    <row r="180" spans="2:29" ht="15.75" thickBot="1" x14ac:dyDescent="0.3">
      <c r="B180" s="351" t="s">
        <v>1892</v>
      </c>
      <c r="C180" s="46" t="s">
        <v>1893</v>
      </c>
      <c r="D180" s="47" t="s">
        <v>1892</v>
      </c>
      <c r="E180" s="48" t="s">
        <v>1894</v>
      </c>
      <c r="F180" s="47">
        <v>3</v>
      </c>
      <c r="G180" s="224">
        <v>165</v>
      </c>
      <c r="H180" s="224">
        <f>ROUNDUP(Tabela1345[[#This Row],[PRICE]]*(1+PRICES!$C$4),0)</f>
        <v>198</v>
      </c>
      <c r="I180" s="49"/>
      <c r="J180" s="49">
        <f>Tabela1345[[#This Row],[PRICE]]*Tabela1345[[#This Row],[DISCOUNT per piece '[%']]]</f>
        <v>0</v>
      </c>
      <c r="K180" s="49">
        <f>Tabela1345[[#This Row],[PRICE]]*(1-Tabela1345[[#This Row],[DISCOUNT per piece '[%']]])</f>
        <v>165</v>
      </c>
      <c r="L180" s="49">
        <f>Tabela1345[[#This Row],[PCS]]*Tabela1345[[#This Row],[PROMOTIONAL PRICE]]</f>
        <v>0</v>
      </c>
      <c r="M180" s="497" cm="1">
        <f t="array" ref="M180">ROUNDUP(Tabela1345[[#This Row],[NEW PRICE]]*eurofxref_daily[],2)</f>
        <v>318.55</v>
      </c>
      <c r="N180" s="502">
        <f>Tabela1345[[#This Row],[CAD PRICE]]*O180</f>
        <v>0</v>
      </c>
      <c r="O180" s="128">
        <f t="shared" si="11"/>
        <v>0</v>
      </c>
      <c r="P180" s="128">
        <f t="shared" si="10"/>
        <v>0</v>
      </c>
      <c r="Q180" s="393"/>
      <c r="R180" s="482"/>
      <c r="S180" s="486"/>
      <c r="T180" s="466"/>
      <c r="U180" s="435"/>
      <c r="V180" s="467"/>
      <c r="W180" s="468"/>
      <c r="X180" s="436"/>
      <c r="Y180" s="470"/>
      <c r="Z180" s="469"/>
      <c r="AA180" s="449"/>
      <c r="AB180" s="449"/>
      <c r="AC180" s="505"/>
    </row>
    <row r="181" spans="2:29" ht="15.75" thickBot="1" x14ac:dyDescent="0.3">
      <c r="B181" s="351" t="s">
        <v>1895</v>
      </c>
      <c r="C181" s="46" t="s">
        <v>1896</v>
      </c>
      <c r="D181" s="47" t="s">
        <v>1895</v>
      </c>
      <c r="E181" s="48" t="s">
        <v>1897</v>
      </c>
      <c r="F181" s="47">
        <v>3</v>
      </c>
      <c r="G181" s="224">
        <v>175</v>
      </c>
      <c r="H181" s="224">
        <f>ROUNDUP(Tabela1345[[#This Row],[PRICE]]*(1+PRICES!$C$4),0)</f>
        <v>210</v>
      </c>
      <c r="I181" s="49"/>
      <c r="J181" s="49">
        <f>Tabela1345[[#This Row],[PRICE]]*Tabela1345[[#This Row],[DISCOUNT per piece '[%']]]</f>
        <v>0</v>
      </c>
      <c r="K181" s="49">
        <f>Tabela1345[[#This Row],[PRICE]]*(1-Tabela1345[[#This Row],[DISCOUNT per piece '[%']]])</f>
        <v>175</v>
      </c>
      <c r="L181" s="49">
        <f>Tabela1345[[#This Row],[PCS]]*Tabela1345[[#This Row],[PROMOTIONAL PRICE]]</f>
        <v>0</v>
      </c>
      <c r="M181" s="497" cm="1">
        <f t="array" ref="M181">ROUNDUP(Tabela1345[[#This Row],[NEW PRICE]]*eurofxref_daily[],2)</f>
        <v>337.84999999999997</v>
      </c>
      <c r="N181" s="502">
        <f>Tabela1345[[#This Row],[CAD PRICE]]*O181</f>
        <v>0</v>
      </c>
      <c r="O181" s="128">
        <f t="shared" si="11"/>
        <v>0</v>
      </c>
      <c r="P181" s="128">
        <f t="shared" si="10"/>
        <v>0</v>
      </c>
      <c r="Q181" s="393"/>
      <c r="R181" s="482"/>
      <c r="S181" s="486"/>
      <c r="T181" s="466"/>
      <c r="U181" s="435"/>
      <c r="V181" s="467"/>
      <c r="W181" s="468"/>
      <c r="X181" s="436"/>
      <c r="Y181" s="470"/>
      <c r="Z181" s="469"/>
      <c r="AA181" s="449"/>
      <c r="AB181" s="449"/>
      <c r="AC181" s="505"/>
    </row>
    <row r="182" spans="2:29" x14ac:dyDescent="0.25">
      <c r="B182" s="352" t="s">
        <v>1898</v>
      </c>
      <c r="C182" s="46" t="s">
        <v>1899</v>
      </c>
      <c r="D182" s="47" t="s">
        <v>1898</v>
      </c>
      <c r="E182" s="48" t="s">
        <v>1900</v>
      </c>
      <c r="F182" s="47">
        <v>4</v>
      </c>
      <c r="G182" s="224">
        <v>197</v>
      </c>
      <c r="H182" s="224">
        <f>ROUNDUP(Tabela1345[[#This Row],[PRICE]]*(1+PRICES!$C$4),0)</f>
        <v>237</v>
      </c>
      <c r="I182" s="49"/>
      <c r="J182" s="49">
        <f>Tabela1345[[#This Row],[PRICE]]*Tabela1345[[#This Row],[DISCOUNT per piece '[%']]]</f>
        <v>0</v>
      </c>
      <c r="K182" s="49">
        <f>Tabela1345[[#This Row],[PRICE]]*(1-Tabela1345[[#This Row],[DISCOUNT per piece '[%']]])</f>
        <v>197</v>
      </c>
      <c r="L182" s="49">
        <f>Tabela1345[[#This Row],[PCS]]*Tabela1345[[#This Row],[PROMOTIONAL PRICE]]</f>
        <v>0</v>
      </c>
      <c r="M182" s="497" cm="1">
        <f t="array" ref="M182">ROUNDUP(Tabela1345[[#This Row],[NEW PRICE]]*eurofxref_daily[],2)</f>
        <v>381.28999999999996</v>
      </c>
      <c r="N182" s="502">
        <f>Tabela1345[[#This Row],[CAD PRICE]]*O182</f>
        <v>0</v>
      </c>
      <c r="O182" s="150">
        <f t="shared" si="11"/>
        <v>0</v>
      </c>
      <c r="P182" s="150">
        <f t="shared" si="10"/>
        <v>0</v>
      </c>
      <c r="Q182" s="393"/>
      <c r="R182" s="482"/>
      <c r="S182" s="486"/>
      <c r="T182" s="466"/>
      <c r="U182" s="435"/>
      <c r="V182" s="467"/>
      <c r="W182" s="468"/>
      <c r="X182" s="436"/>
      <c r="Y182" s="470"/>
      <c r="Z182" s="469"/>
      <c r="AA182" s="449"/>
      <c r="AB182" s="449"/>
      <c r="AC182" s="505"/>
    </row>
    <row r="183" spans="2:29" ht="15.75" thickBot="1" x14ac:dyDescent="0.3">
      <c r="B183" s="426" t="s">
        <v>2048</v>
      </c>
      <c r="C183" s="343" t="s">
        <v>2005</v>
      </c>
      <c r="D183" s="347"/>
      <c r="E183" s="345"/>
      <c r="F183" s="344"/>
      <c r="G183" s="348"/>
      <c r="H183" s="348"/>
      <c r="I183" s="348"/>
      <c r="J183" s="348"/>
      <c r="K183" s="348"/>
      <c r="L183" s="348"/>
      <c r="M183" s="124"/>
      <c r="N183" s="124"/>
      <c r="O183" s="140"/>
      <c r="P183" s="140">
        <v>0</v>
      </c>
      <c r="Q183" s="392"/>
      <c r="R183" s="399"/>
      <c r="S183" s="392"/>
      <c r="T183" s="399"/>
      <c r="U183" s="399"/>
      <c r="V183" s="399"/>
      <c r="W183" s="399"/>
      <c r="X183" s="399"/>
      <c r="Y183" s="399"/>
      <c r="Z183" s="461"/>
      <c r="AA183" s="461"/>
      <c r="AB183" s="461"/>
      <c r="AC183" s="461"/>
    </row>
    <row r="184" spans="2:29" ht="15.75" thickBot="1" x14ac:dyDescent="0.3">
      <c r="B184" s="351" t="s">
        <v>2006</v>
      </c>
      <c r="C184" s="428" t="s">
        <v>2007</v>
      </c>
      <c r="D184" s="381" t="s">
        <v>2006</v>
      </c>
      <c r="E184" s="380" t="s">
        <v>2008</v>
      </c>
      <c r="F184" s="381">
        <v>1.2</v>
      </c>
      <c r="G184" s="423">
        <v>75</v>
      </c>
      <c r="H184" s="224">
        <f>ROUNDUP(Tabela1345[[#This Row],[PRICE]]*(1+PRICES!$C$4),0)</f>
        <v>90</v>
      </c>
      <c r="I184" s="49"/>
      <c r="J184" s="49">
        <v>0</v>
      </c>
      <c r="K184" s="49">
        <v>75</v>
      </c>
      <c r="L184" s="49">
        <v>150</v>
      </c>
      <c r="M184" s="497" cm="1">
        <f t="array" ref="M184">ROUNDUP(Tabela1345[[#This Row],[NEW PRICE]]*eurofxref_daily[],2)</f>
        <v>144.79999999999998</v>
      </c>
      <c r="N184" s="502">
        <f>Tabela1345[[#This Row],[CAD PRICE]]*O184</f>
        <v>0</v>
      </c>
      <c r="O184" s="128">
        <f>SUM(R184:AC184)</f>
        <v>0</v>
      </c>
      <c r="P184" s="128">
        <v>2.4</v>
      </c>
      <c r="Q184" s="422"/>
      <c r="R184" s="482"/>
      <c r="S184" s="486"/>
      <c r="T184" s="466"/>
      <c r="U184" s="435"/>
      <c r="V184" s="467"/>
      <c r="W184" s="468"/>
      <c r="X184" s="436"/>
      <c r="Y184" s="470"/>
      <c r="Z184" s="469"/>
      <c r="AA184" s="449"/>
      <c r="AB184" s="449"/>
      <c r="AC184" s="505"/>
    </row>
    <row r="185" spans="2:29" ht="15.75" thickBot="1" x14ac:dyDescent="0.3">
      <c r="B185" s="351" t="s">
        <v>2009</v>
      </c>
      <c r="C185" s="428" t="s">
        <v>2010</v>
      </c>
      <c r="D185" s="381" t="s">
        <v>2009</v>
      </c>
      <c r="E185" s="380" t="s">
        <v>2011</v>
      </c>
      <c r="F185" s="381">
        <v>1.6</v>
      </c>
      <c r="G185" s="423">
        <v>85</v>
      </c>
      <c r="H185" s="224">
        <f>ROUNDUP(Tabela1345[[#This Row],[PRICE]]*(1+PRICES!$C$4),0)</f>
        <v>102</v>
      </c>
      <c r="I185" s="49"/>
      <c r="J185" s="49">
        <v>0</v>
      </c>
      <c r="K185" s="49">
        <v>85</v>
      </c>
      <c r="L185" s="49">
        <v>170</v>
      </c>
      <c r="M185" s="497" cm="1">
        <f t="array" ref="M185">ROUNDUP(Tabela1345[[#This Row],[NEW PRICE]]*eurofxref_daily[],2)</f>
        <v>164.1</v>
      </c>
      <c r="N185" s="502">
        <f>Tabela1345[[#This Row],[CAD PRICE]]*O185</f>
        <v>0</v>
      </c>
      <c r="O185" s="128">
        <f t="shared" ref="O185:O196" si="12">SUM(R185:AC185)</f>
        <v>0</v>
      </c>
      <c r="P185" s="128">
        <v>3.2</v>
      </c>
      <c r="Q185" s="422"/>
      <c r="R185" s="482"/>
      <c r="S185" s="486"/>
      <c r="T185" s="466"/>
      <c r="U185" s="435"/>
      <c r="V185" s="467"/>
      <c r="W185" s="468"/>
      <c r="X185" s="436"/>
      <c r="Y185" s="470"/>
      <c r="Z185" s="469"/>
      <c r="AA185" s="449"/>
      <c r="AB185" s="449"/>
      <c r="AC185" s="505"/>
    </row>
    <row r="186" spans="2:29" ht="15.75" thickBot="1" x14ac:dyDescent="0.3">
      <c r="B186" s="351" t="s">
        <v>2012</v>
      </c>
      <c r="C186" s="428" t="s">
        <v>2013</v>
      </c>
      <c r="D186" s="381" t="s">
        <v>2012</v>
      </c>
      <c r="E186" s="380" t="s">
        <v>2014</v>
      </c>
      <c r="F186" s="381">
        <v>2.2000000000000002</v>
      </c>
      <c r="G186" s="423">
        <v>95</v>
      </c>
      <c r="H186" s="224">
        <f>ROUNDUP(Tabela1345[[#This Row],[PRICE]]*(1+PRICES!$C$4),0)</f>
        <v>114</v>
      </c>
      <c r="I186" s="49"/>
      <c r="J186" s="49">
        <v>0</v>
      </c>
      <c r="K186" s="49">
        <v>95</v>
      </c>
      <c r="L186" s="49">
        <v>190</v>
      </c>
      <c r="M186" s="497" cm="1">
        <f t="array" ref="M186">ROUNDUP(Tabela1345[[#This Row],[NEW PRICE]]*eurofxref_daily[],2)</f>
        <v>183.41</v>
      </c>
      <c r="N186" s="502">
        <f>Tabela1345[[#This Row],[CAD PRICE]]*O186</f>
        <v>0</v>
      </c>
      <c r="O186" s="128">
        <f t="shared" si="12"/>
        <v>0</v>
      </c>
      <c r="P186" s="128">
        <v>4.4000000000000004</v>
      </c>
      <c r="Q186" s="422"/>
      <c r="R186" s="482"/>
      <c r="S186" s="486"/>
      <c r="T186" s="466"/>
      <c r="U186" s="435"/>
      <c r="V186" s="467"/>
      <c r="W186" s="468"/>
      <c r="X186" s="436"/>
      <c r="Y186" s="470"/>
      <c r="Z186" s="469"/>
      <c r="AA186" s="449"/>
      <c r="AB186" s="449"/>
      <c r="AC186" s="505"/>
    </row>
    <row r="187" spans="2:29" ht="15.75" thickBot="1" x14ac:dyDescent="0.3">
      <c r="B187" s="351" t="s">
        <v>2015</v>
      </c>
      <c r="C187" s="428" t="s">
        <v>2016</v>
      </c>
      <c r="D187" s="381" t="s">
        <v>2015</v>
      </c>
      <c r="E187" s="380" t="s">
        <v>2017</v>
      </c>
      <c r="F187" s="381">
        <v>1.8</v>
      </c>
      <c r="G187" s="423">
        <v>95</v>
      </c>
      <c r="H187" s="224">
        <f>ROUNDUP(Tabela1345[[#This Row],[PRICE]]*(1+PRICES!$C$4),0)</f>
        <v>114</v>
      </c>
      <c r="I187" s="49"/>
      <c r="J187" s="49">
        <v>0</v>
      </c>
      <c r="K187" s="49">
        <v>95</v>
      </c>
      <c r="L187" s="49">
        <v>190</v>
      </c>
      <c r="M187" s="497" cm="1">
        <f t="array" ref="M187">ROUNDUP(Tabela1345[[#This Row],[NEW PRICE]]*eurofxref_daily[],2)</f>
        <v>183.41</v>
      </c>
      <c r="N187" s="502">
        <f>Tabela1345[[#This Row],[CAD PRICE]]*O187</f>
        <v>0</v>
      </c>
      <c r="O187" s="128">
        <f t="shared" si="12"/>
        <v>0</v>
      </c>
      <c r="P187" s="128">
        <v>3.6</v>
      </c>
      <c r="Q187" s="422"/>
      <c r="R187" s="482"/>
      <c r="S187" s="486"/>
      <c r="T187" s="466"/>
      <c r="U187" s="435"/>
      <c r="V187" s="467"/>
      <c r="W187" s="468"/>
      <c r="X187" s="436"/>
      <c r="Y187" s="470"/>
      <c r="Z187" s="469"/>
      <c r="AA187" s="449"/>
      <c r="AB187" s="449"/>
      <c r="AC187" s="505"/>
    </row>
    <row r="188" spans="2:29" ht="15.75" thickBot="1" x14ac:dyDescent="0.3">
      <c r="B188" s="351" t="s">
        <v>2018</v>
      </c>
      <c r="C188" s="429" t="s">
        <v>2019</v>
      </c>
      <c r="D188" s="190" t="s">
        <v>2018</v>
      </c>
      <c r="E188" s="191" t="s">
        <v>2020</v>
      </c>
      <c r="F188" s="190">
        <v>2</v>
      </c>
      <c r="G188" s="192">
        <v>100</v>
      </c>
      <c r="H188" s="224">
        <f>ROUNDUP(Tabela1345[[#This Row],[PRICE]]*(1+PRICES!$C$4),0)</f>
        <v>120</v>
      </c>
      <c r="I188" s="49"/>
      <c r="J188" s="49">
        <v>0</v>
      </c>
      <c r="K188" s="49">
        <v>100</v>
      </c>
      <c r="L188" s="49">
        <v>200</v>
      </c>
      <c r="M188" s="497" cm="1">
        <f t="array" ref="M188">ROUNDUP(Tabela1345[[#This Row],[NEW PRICE]]*eurofxref_daily[],2)</f>
        <v>193.06</v>
      </c>
      <c r="N188" s="502">
        <f>Tabela1345[[#This Row],[CAD PRICE]]*O188</f>
        <v>0</v>
      </c>
      <c r="O188" s="128">
        <f t="shared" si="12"/>
        <v>0</v>
      </c>
      <c r="P188" s="128">
        <v>4</v>
      </c>
      <c r="Q188" s="422"/>
      <c r="R188" s="482"/>
      <c r="S188" s="486"/>
      <c r="T188" s="466"/>
      <c r="U188" s="435"/>
      <c r="V188" s="467"/>
      <c r="W188" s="468"/>
      <c r="X188" s="436"/>
      <c r="Y188" s="470"/>
      <c r="Z188" s="469"/>
      <c r="AA188" s="449"/>
      <c r="AB188" s="449"/>
      <c r="AC188" s="505"/>
    </row>
    <row r="189" spans="2:29" ht="15.75" thickBot="1" x14ac:dyDescent="0.3">
      <c r="B189" s="351" t="s">
        <v>2021</v>
      </c>
      <c r="C189" s="428" t="s">
        <v>2022</v>
      </c>
      <c r="D189" s="381" t="s">
        <v>2021</v>
      </c>
      <c r="E189" s="380" t="s">
        <v>2023</v>
      </c>
      <c r="F189" s="381">
        <v>2</v>
      </c>
      <c r="G189" s="423">
        <v>100</v>
      </c>
      <c r="H189" s="224">
        <f>ROUNDUP(Tabela1345[[#This Row],[PRICE]]*(1+PRICES!$C$4),0)</f>
        <v>120</v>
      </c>
      <c r="I189" s="49"/>
      <c r="J189" s="49">
        <v>0</v>
      </c>
      <c r="K189" s="49">
        <v>100</v>
      </c>
      <c r="L189" s="49">
        <v>200</v>
      </c>
      <c r="M189" s="497" cm="1">
        <f t="array" ref="M189">ROUNDUP(Tabela1345[[#This Row],[NEW PRICE]]*eurofxref_daily[],2)</f>
        <v>193.06</v>
      </c>
      <c r="N189" s="502">
        <f>Tabela1345[[#This Row],[CAD PRICE]]*O189</f>
        <v>0</v>
      </c>
      <c r="O189" s="128">
        <f t="shared" si="12"/>
        <v>0</v>
      </c>
      <c r="P189" s="128">
        <v>4</v>
      </c>
      <c r="Q189" s="422"/>
      <c r="R189" s="482"/>
      <c r="S189" s="486"/>
      <c r="T189" s="466"/>
      <c r="U189" s="435"/>
      <c r="V189" s="467"/>
      <c r="W189" s="468"/>
      <c r="X189" s="436"/>
      <c r="Y189" s="470"/>
      <c r="Z189" s="469"/>
      <c r="AA189" s="449"/>
      <c r="AB189" s="449"/>
      <c r="AC189" s="505"/>
    </row>
    <row r="190" spans="2:29" ht="15.75" thickBot="1" x14ac:dyDescent="0.3">
      <c r="B190" s="351" t="s">
        <v>2024</v>
      </c>
      <c r="C190" s="428" t="s">
        <v>2025</v>
      </c>
      <c r="D190" s="381" t="s">
        <v>2024</v>
      </c>
      <c r="E190" s="380" t="s">
        <v>2026</v>
      </c>
      <c r="F190" s="381">
        <v>2.2000000000000002</v>
      </c>
      <c r="G190" s="423">
        <v>105</v>
      </c>
      <c r="H190" s="224">
        <f>ROUNDUP(Tabela1345[[#This Row],[PRICE]]*(1+PRICES!$C$4),0)</f>
        <v>126</v>
      </c>
      <c r="I190" s="49"/>
      <c r="J190" s="49">
        <v>0</v>
      </c>
      <c r="K190" s="49">
        <v>105</v>
      </c>
      <c r="L190" s="49">
        <v>210</v>
      </c>
      <c r="M190" s="497" cm="1">
        <f t="array" ref="M190">ROUNDUP(Tabela1345[[#This Row],[NEW PRICE]]*eurofxref_daily[],2)</f>
        <v>202.70999999999998</v>
      </c>
      <c r="N190" s="502">
        <f>Tabela1345[[#This Row],[CAD PRICE]]*O190</f>
        <v>0</v>
      </c>
      <c r="O190" s="128">
        <f t="shared" si="12"/>
        <v>0</v>
      </c>
      <c r="P190" s="128">
        <v>4.4000000000000004</v>
      </c>
      <c r="Q190" s="422"/>
      <c r="R190" s="482"/>
      <c r="S190" s="486"/>
      <c r="T190" s="466"/>
      <c r="U190" s="435"/>
      <c r="V190" s="467"/>
      <c r="W190" s="468"/>
      <c r="X190" s="436"/>
      <c r="Y190" s="470"/>
      <c r="Z190" s="469"/>
      <c r="AA190" s="449"/>
      <c r="AB190" s="449"/>
      <c r="AC190" s="505"/>
    </row>
    <row r="191" spans="2:29" ht="15.75" thickBot="1" x14ac:dyDescent="0.3">
      <c r="B191" s="351" t="s">
        <v>2027</v>
      </c>
      <c r="C191" s="428" t="s">
        <v>2028</v>
      </c>
      <c r="D191" s="381" t="s">
        <v>2027</v>
      </c>
      <c r="E191" s="380" t="s">
        <v>2029</v>
      </c>
      <c r="F191" s="381">
        <v>3</v>
      </c>
      <c r="G191" s="423">
        <v>110</v>
      </c>
      <c r="H191" s="224">
        <f>ROUNDUP(Tabela1345[[#This Row],[PRICE]]*(1+PRICES!$C$4),0)</f>
        <v>132</v>
      </c>
      <c r="I191" s="49"/>
      <c r="J191" s="49">
        <v>0</v>
      </c>
      <c r="K191" s="49">
        <v>110</v>
      </c>
      <c r="L191" s="49">
        <v>220</v>
      </c>
      <c r="M191" s="497" cm="1">
        <f t="array" ref="M191">ROUNDUP(Tabela1345[[#This Row],[NEW PRICE]]*eurofxref_daily[],2)</f>
        <v>212.37</v>
      </c>
      <c r="N191" s="502">
        <f>Tabela1345[[#This Row],[CAD PRICE]]*O191</f>
        <v>0</v>
      </c>
      <c r="O191" s="128">
        <f t="shared" si="12"/>
        <v>0</v>
      </c>
      <c r="P191" s="128">
        <v>6</v>
      </c>
      <c r="Q191" s="422"/>
      <c r="R191" s="482"/>
      <c r="S191" s="486"/>
      <c r="T191" s="466"/>
      <c r="U191" s="435"/>
      <c r="V191" s="467"/>
      <c r="W191" s="468"/>
      <c r="X191" s="436"/>
      <c r="Y191" s="470"/>
      <c r="Z191" s="469"/>
      <c r="AA191" s="449"/>
      <c r="AB191" s="449"/>
      <c r="AC191" s="505"/>
    </row>
    <row r="192" spans="2:29" ht="15.75" thickBot="1" x14ac:dyDescent="0.3">
      <c r="B192" s="351" t="s">
        <v>2030</v>
      </c>
      <c r="C192" s="428" t="s">
        <v>2031</v>
      </c>
      <c r="D192" s="381" t="s">
        <v>2030</v>
      </c>
      <c r="E192" s="380" t="s">
        <v>2032</v>
      </c>
      <c r="F192" s="381">
        <v>3</v>
      </c>
      <c r="G192" s="423">
        <v>115</v>
      </c>
      <c r="H192" s="224">
        <f>ROUNDUP(Tabela1345[[#This Row],[PRICE]]*(1+PRICES!$C$4),0)</f>
        <v>138</v>
      </c>
      <c r="I192" s="49"/>
      <c r="J192" s="49">
        <v>0</v>
      </c>
      <c r="K192" s="49">
        <v>115</v>
      </c>
      <c r="L192" s="49">
        <v>230</v>
      </c>
      <c r="M192" s="497" cm="1">
        <f t="array" ref="M192">ROUNDUP(Tabela1345[[#This Row],[NEW PRICE]]*eurofxref_daily[],2)</f>
        <v>222.01999999999998</v>
      </c>
      <c r="N192" s="502">
        <f>Tabela1345[[#This Row],[CAD PRICE]]*O192</f>
        <v>0</v>
      </c>
      <c r="O192" s="128">
        <f t="shared" si="12"/>
        <v>0</v>
      </c>
      <c r="P192" s="128">
        <v>6</v>
      </c>
      <c r="Q192" s="422"/>
      <c r="R192" s="482"/>
      <c r="S192" s="486"/>
      <c r="T192" s="466"/>
      <c r="U192" s="435"/>
      <c r="V192" s="467"/>
      <c r="W192" s="468"/>
      <c r="X192" s="436"/>
      <c r="Y192" s="470"/>
      <c r="Z192" s="469"/>
      <c r="AA192" s="449"/>
      <c r="AB192" s="449"/>
      <c r="AC192" s="505"/>
    </row>
    <row r="193" spans="2:29" ht="15.75" thickBot="1" x14ac:dyDescent="0.3">
      <c r="B193" s="351" t="s">
        <v>2033</v>
      </c>
      <c r="C193" s="428" t="s">
        <v>2034</v>
      </c>
      <c r="D193" s="381" t="s">
        <v>2035</v>
      </c>
      <c r="E193" s="380" t="s">
        <v>2036</v>
      </c>
      <c r="F193" s="381">
        <v>4</v>
      </c>
      <c r="G193" s="423">
        <v>120</v>
      </c>
      <c r="H193" s="224">
        <f>ROUNDUP(Tabela1345[[#This Row],[PRICE]]*(1+PRICES!$C$4),0)</f>
        <v>144</v>
      </c>
      <c r="I193" s="49"/>
      <c r="J193" s="49">
        <v>0</v>
      </c>
      <c r="K193" s="49">
        <v>120</v>
      </c>
      <c r="L193" s="49">
        <v>240</v>
      </c>
      <c r="M193" s="497" cm="1">
        <f t="array" ref="M193">ROUNDUP(Tabela1345[[#This Row],[NEW PRICE]]*eurofxref_daily[],2)</f>
        <v>231.67</v>
      </c>
      <c r="N193" s="502">
        <f>Tabela1345[[#This Row],[CAD PRICE]]*O193</f>
        <v>0</v>
      </c>
      <c r="O193" s="128">
        <f t="shared" si="12"/>
        <v>0</v>
      </c>
      <c r="P193" s="128">
        <v>8</v>
      </c>
      <c r="Q193" s="422"/>
      <c r="R193" s="482"/>
      <c r="S193" s="486"/>
      <c r="T193" s="466"/>
      <c r="U193" s="435"/>
      <c r="V193" s="467"/>
      <c r="W193" s="468"/>
      <c r="X193" s="436"/>
      <c r="Y193" s="470"/>
      <c r="Z193" s="469"/>
      <c r="AA193" s="449"/>
      <c r="AB193" s="449"/>
      <c r="AC193" s="505"/>
    </row>
    <row r="194" spans="2:29" ht="15.75" thickBot="1" x14ac:dyDescent="0.3">
      <c r="B194" s="352" t="s">
        <v>2037</v>
      </c>
      <c r="C194" s="428" t="s">
        <v>2038</v>
      </c>
      <c r="D194" s="381" t="s">
        <v>2037</v>
      </c>
      <c r="E194" s="380" t="s">
        <v>2039</v>
      </c>
      <c r="F194" s="381">
        <v>4</v>
      </c>
      <c r="G194" s="423">
        <v>155</v>
      </c>
      <c r="H194" s="224">
        <f>ROUNDUP(Tabela1345[[#This Row],[PRICE]]*(1+PRICES!$C$4),0)</f>
        <v>186</v>
      </c>
      <c r="I194" s="49"/>
      <c r="J194" s="49">
        <v>0</v>
      </c>
      <c r="K194" s="49">
        <v>155</v>
      </c>
      <c r="L194" s="49">
        <v>310</v>
      </c>
      <c r="M194" s="497" cm="1">
        <f t="array" ref="M194">ROUNDUP(Tabela1345[[#This Row],[NEW PRICE]]*eurofxref_daily[],2)</f>
        <v>299.24</v>
      </c>
      <c r="N194" s="502">
        <f>Tabela1345[[#This Row],[CAD PRICE]]*O194</f>
        <v>0</v>
      </c>
      <c r="O194" s="128">
        <f t="shared" si="12"/>
        <v>0</v>
      </c>
      <c r="P194" s="128">
        <v>8</v>
      </c>
      <c r="Q194" s="422"/>
      <c r="R194" s="482"/>
      <c r="S194" s="486"/>
      <c r="T194" s="466"/>
      <c r="U194" s="435"/>
      <c r="V194" s="467"/>
      <c r="W194" s="468"/>
      <c r="X194" s="436"/>
      <c r="Y194" s="470"/>
      <c r="Z194" s="469"/>
      <c r="AA194" s="449"/>
      <c r="AB194" s="449"/>
      <c r="AC194" s="505"/>
    </row>
    <row r="195" spans="2:29" ht="15.75" thickBot="1" x14ac:dyDescent="0.3">
      <c r="B195" s="351" t="s">
        <v>2040</v>
      </c>
      <c r="C195" s="429" t="s">
        <v>2041</v>
      </c>
      <c r="D195" s="190" t="s">
        <v>2040</v>
      </c>
      <c r="E195" s="191" t="s">
        <v>2042</v>
      </c>
      <c r="F195" s="190">
        <v>4</v>
      </c>
      <c r="G195" s="192">
        <v>175</v>
      </c>
      <c r="H195" s="224">
        <f>ROUNDUP(Tabela1345[[#This Row],[PRICE]]*(1+PRICES!$C$4),0)</f>
        <v>210</v>
      </c>
      <c r="I195" s="49"/>
      <c r="J195" s="49">
        <v>0</v>
      </c>
      <c r="K195" s="49">
        <v>175</v>
      </c>
      <c r="L195" s="49">
        <v>350</v>
      </c>
      <c r="M195" s="497" cm="1">
        <f t="array" ref="M195">ROUNDUP(Tabela1345[[#This Row],[NEW PRICE]]*eurofxref_daily[],2)</f>
        <v>337.84999999999997</v>
      </c>
      <c r="N195" s="502">
        <f>Tabela1345[[#This Row],[CAD PRICE]]*O195</f>
        <v>0</v>
      </c>
      <c r="O195" s="128">
        <f t="shared" si="12"/>
        <v>0</v>
      </c>
      <c r="P195" s="128">
        <v>8</v>
      </c>
      <c r="Q195" s="422"/>
      <c r="R195" s="482"/>
      <c r="S195" s="486"/>
      <c r="T195" s="466"/>
      <c r="U195" s="435"/>
      <c r="V195" s="467"/>
      <c r="W195" s="468"/>
      <c r="X195" s="436"/>
      <c r="Y195" s="470"/>
      <c r="Z195" s="469"/>
      <c r="AA195" s="449"/>
      <c r="AB195" s="449"/>
      <c r="AC195" s="505"/>
    </row>
    <row r="196" spans="2:29" x14ac:dyDescent="0.25">
      <c r="B196" s="352" t="s">
        <v>2043</v>
      </c>
      <c r="C196" s="430" t="s">
        <v>2044</v>
      </c>
      <c r="D196" s="47" t="s">
        <v>2043</v>
      </c>
      <c r="E196" s="48" t="s">
        <v>2045</v>
      </c>
      <c r="F196" s="47">
        <v>4</v>
      </c>
      <c r="G196" s="49">
        <v>190</v>
      </c>
      <c r="H196" s="224">
        <f>ROUNDUP(Tabela1345[[#This Row],[PRICE]]*(1+PRICES!$C$4),0)</f>
        <v>228</v>
      </c>
      <c r="I196" s="49"/>
      <c r="J196" s="49">
        <v>0</v>
      </c>
      <c r="K196" s="49">
        <v>190</v>
      </c>
      <c r="L196" s="49">
        <v>380</v>
      </c>
      <c r="M196" s="497" cm="1">
        <f t="array" ref="M196">ROUNDUP(Tabela1345[[#This Row],[NEW PRICE]]*eurofxref_daily[],2)</f>
        <v>366.81</v>
      </c>
      <c r="N196" s="502">
        <f>Tabela1345[[#This Row],[CAD PRICE]]*O196</f>
        <v>0</v>
      </c>
      <c r="O196" s="150">
        <f t="shared" si="12"/>
        <v>0</v>
      </c>
      <c r="P196" s="150">
        <v>8</v>
      </c>
      <c r="Q196" s="421"/>
      <c r="R196" s="482"/>
      <c r="S196" s="486"/>
      <c r="T196" s="466"/>
      <c r="U196" s="435"/>
      <c r="V196" s="467"/>
      <c r="W196" s="468"/>
      <c r="X196" s="436"/>
      <c r="Y196" s="470"/>
      <c r="Z196" s="469"/>
      <c r="AA196" s="449"/>
      <c r="AB196" s="449"/>
      <c r="AC196" s="505"/>
    </row>
  </sheetData>
  <sheetProtection algorithmName="SHA-512" hashValue="bofuOjlJsa72xC3kEPs9DgB2KRaLxDdKNjZMdP7jKSwSze3hOCsh6znWcTuSAYDZNpLJa17iQkTN4og9DkVl3Q==" saltValue="dXfwQg188s1Fqgz7PR33wQ==" spinCount="100000" sheet="1" objects="1" scenarios="1"/>
  <mergeCells count="5">
    <mergeCell ref="E3:F3"/>
    <mergeCell ref="E4:F4"/>
    <mergeCell ref="C4:D4"/>
    <mergeCell ref="C3:D3"/>
    <mergeCell ref="O4:Q4"/>
  </mergeCells>
  <phoneticPr fontId="14" type="noConversion"/>
  <dataValidations disablePrompts="1" count="1">
    <dataValidation type="list" allowBlank="1" showInputMessage="1" showErrorMessage="1" sqref="Q16:Q21 Q127:Q136 Q94:Q103 Q77:Q86 Q37:Q47" xr:uid="{3EB70968-2576-47F6-BAA6-96E8E69CFF85}">
      <formula1>$R$7:$AB$7</formula1>
    </dataValidation>
  </dataValidations>
  <hyperlinks>
    <hyperlink ref="C24" r:id="rId1" display="https://climbinggymheaven.com/product/cone-2/" xr:uid="{DA21BBBD-E4F9-42B9-BEB8-AE2FAB05C0A0}"/>
    <hyperlink ref="C25" r:id="rId2" display="https://climbinggymheaven.com/product/cone-3/" xr:uid="{AF6CDDE2-7703-4E14-884A-A3A77CF28363}"/>
    <hyperlink ref="C26" r:id="rId3" display="https://climbinggymheaven.com/product/cone-4/" xr:uid="{A7725C2A-931E-4514-B58E-2C0C961BA268}"/>
    <hyperlink ref="C27" r:id="rId4" display="https://climbinggymheaven.com/product/cone-5/" xr:uid="{55251C3A-D845-47DD-B1C2-3F58B0144850}"/>
    <hyperlink ref="C28" r:id="rId5" display="https://climbinggymheaven.com/product/cone-6/" xr:uid="{C74C66A0-4764-4F0B-BCF0-4BA94FC5EBB2}"/>
    <hyperlink ref="C29" r:id="rId6" display="https://climbinggymheaven.com/product/cone-7/" xr:uid="{EB1C0BDB-4169-4CD5-84E9-1C5AC3E54D72}"/>
    <hyperlink ref="C30" r:id="rId7" display="https://climbinggymheaven.com/product/cone-8/" xr:uid="{B5E6C0BD-EB62-448E-A858-AC0FC66322F0}"/>
    <hyperlink ref="C31" r:id="rId8" display="https://climbinggymheaven.com/product/cone-9/" xr:uid="{5453E468-FC97-4A55-9517-05B2774C15C6}"/>
    <hyperlink ref="C32" r:id="rId9" display="https://climbinggymheaven.com/product/cone-10/" xr:uid="{1A3173FF-209E-493B-B7D2-7D7F99E37661}"/>
    <hyperlink ref="C33" r:id="rId10" display="https://climbinggymheaven.com/product/cone-11/" xr:uid="{504D2BFC-AD3D-46C6-8517-E31F88A68691}"/>
    <hyperlink ref="C34" r:id="rId11" display="https://climbinggymheaven.com/product/cone-12/" xr:uid="{92870927-9B6C-40FF-BC1B-D4778F05BDB0}"/>
    <hyperlink ref="C35" r:id="rId12" display="https://climbinggymheaven.com/product/cone-13/" xr:uid="{AC412CBB-AEEA-412E-9004-0F3078EE3408}"/>
    <hyperlink ref="C53" r:id="rId13" display="https://climbinggymheaven.com/product/confusion/" xr:uid="{1A7179C0-31D5-4C59-B990-B5B235E8CBEB}"/>
    <hyperlink ref="C54" r:id="rId14" display="https://climbinggymheaven.com/product/hallucination/" xr:uid="{03C28A3E-864C-421B-A7F7-1D73EBAA23F5}"/>
    <hyperlink ref="C55" r:id="rId15" display="https://climbinggymheaven.com/product/deception/" xr:uid="{85EBEDBF-EB41-409B-BEF2-7B31ACB8D233}"/>
    <hyperlink ref="C56" r:id="rId16" display="https://climbinggymheaven.com/product/impression/" xr:uid="{D14F3F49-77C1-40F9-85C8-993119C115A0}"/>
    <hyperlink ref="C57" r:id="rId17" display="https://climbinggymheaven.com/product/phantom/" xr:uid="{9B50D3A2-551E-4490-BC59-52C4E6551CFF}"/>
    <hyperlink ref="C58" r:id="rId18" display="https://climbinggymheaven.com/product/fantasy/" xr:uid="{776AA8D0-62F2-402C-BBBB-282EECE3D9BB}"/>
    <hyperlink ref="C59" r:id="rId19" display="https://climbinggymheaven.com/product/imagination/" xr:uid="{56943537-461D-4BEB-8B0E-5F18F1B98B4D}"/>
    <hyperlink ref="C60" r:id="rId20" display="https://climbinggymheaven.com/product/fatamorgana/" xr:uid="{1817B1D4-F73B-4450-B794-7AF8EEBAA107}"/>
    <hyperlink ref="C61" r:id="rId21" display="https://climbinggymheaven.com/product/reflection/" xr:uid="{05A51CBE-59A2-4E01-BD8F-E754133AC58F}"/>
    <hyperlink ref="C62" r:id="rId22" display="https://climbinggymheaven.com/product/mirage/" xr:uid="{C8F27FCC-F394-456C-BC77-8F718E54E808}"/>
    <hyperlink ref="C63" r:id="rId23" display="https://climbinggymheaven.com/product/vision/" xr:uid="{25093960-9FF5-4596-B077-4A9AFF97D66F}"/>
    <hyperlink ref="C64" r:id="rId24" display="https://climbinggymheaven.com/product/virtuality/" xr:uid="{2F61AB52-A3BC-47E9-9D61-1DC53E1FAAB9}"/>
    <hyperlink ref="C49" r:id="rId25" display="https://climbinggymheaven.com/product/cone-14/" xr:uid="{936DEB51-9253-4F4C-9C41-8C235BC7A65D}"/>
    <hyperlink ref="C50" r:id="rId26" display="https://climbinggymheaven.com/product/cone-15/" xr:uid="{90E3C7FC-3DA5-4475-A6DE-67DBC457FED0}"/>
    <hyperlink ref="C105" r:id="rId27" display="https://climbinggymheaven.com/product/retro-nose-1/" xr:uid="{6DE55937-7FE8-45F2-AB2B-6EA950DBC31E}"/>
    <hyperlink ref="C106" r:id="rId28" display="https://climbinggymheaven.com/product/retro-nose-2/" xr:uid="{88701823-52D9-4A37-9F46-CB322760D109}"/>
    <hyperlink ref="C107" r:id="rId29" display="https://climbinggymheaven.com/product/retro-nose-3/" xr:uid="{CFC9BF64-84E3-4CE8-B138-1B367C1BD0FE}"/>
    <hyperlink ref="C108" r:id="rId30" display="https://climbinggymheaven.com/product/retro-nose-4/" xr:uid="{B94B798F-7EC3-42DD-8EE5-86D765C3F5A9}"/>
    <hyperlink ref="C109" r:id="rId31" display="https://climbinggymheaven.com/product/retro-nose-5/" xr:uid="{CA741A75-38CD-4CB8-B802-D923A53B7AF2}"/>
    <hyperlink ref="C110" r:id="rId32" display="https://climbinggymheaven.com/product/retro-nose-6/" xr:uid="{F855985F-2578-4356-BF35-788DE316A494}"/>
    <hyperlink ref="C111" r:id="rId33" display="https://climbinggymheaven.com/product/retro-nose-7/" xr:uid="{918AD28A-C6A3-4F6B-913B-F0A04EF90E8B}"/>
    <hyperlink ref="C112" r:id="rId34" display="https://climbinggymheaven.com/product/retro-nose-8/" xr:uid="{C5EB6B28-A722-4033-B89F-D98EEA3A03B7}"/>
    <hyperlink ref="C113" r:id="rId35" display="https://climbinggymheaven.com/product/retro-nose-9/" xr:uid="{08F529AC-F385-4883-B97A-CCC81DDFBF85}"/>
    <hyperlink ref="C114" r:id="rId36" display="https://climbinggymheaven.com/product/retro-nose-10/" xr:uid="{124F20D0-2863-4EFC-BC65-F2A6D1DFA222}"/>
    <hyperlink ref="C138" r:id="rId37" display="https://climbinggymheaven.com/product/sploong-pinch-1/" xr:uid="{BA8EADB7-4303-4017-B7DE-E2A414131E35}"/>
    <hyperlink ref="C139" r:id="rId38" display="https://climbinggymheaven.com/product/sploong-pinch-2/" xr:uid="{661459F9-ABA7-4EE0-BED9-E0B71EF91199}"/>
    <hyperlink ref="C140" r:id="rId39" display="https://climbinggymheaven.com/product/sploong-pinch-3/" xr:uid="{C76D0A92-A63E-4321-9626-6E50A40D38F4}"/>
    <hyperlink ref="C141" r:id="rId40" display="https://climbinggymheaven.com/product/sploong-pinch-4/" xr:uid="{B2D70112-47ED-484A-94F3-E0A90BBCA106}"/>
    <hyperlink ref="C142" r:id="rId41" display="https://climbinggymheaven.com/product/sploong-pinch-5/" xr:uid="{54E41517-0CAF-485F-8477-AA5E209ABFDC}"/>
    <hyperlink ref="C143" r:id="rId42" display="https://climbinggymheaven.com/product/sploong-pinch-6/" xr:uid="{DAD2CE67-8DD5-4E05-8478-1D0465088370}"/>
    <hyperlink ref="C144" r:id="rId43" display="https://climbinggymheaven.com/product/sploong-pinch-7/" xr:uid="{5B44CC82-DAE9-4D35-A38B-DADF0CA52888}"/>
    <hyperlink ref="C145" r:id="rId44" display="https://climbinggymheaven.com/product/sploong-pinch-8/" xr:uid="{D842F818-3219-4615-955D-7C8CDC2B0486}"/>
    <hyperlink ref="C146" r:id="rId45" display="https://climbinggymheaven.com/product/sploong-pinch-9/" xr:uid="{0C1F8CDF-09F5-43D9-B13E-1976F0E4A3CA}"/>
    <hyperlink ref="C147" r:id="rId46" display="https://climbinggymheaven.com/product/sploong-pinch-10/" xr:uid="{99F5028A-E3AB-4DDA-AA08-2757404087D2}"/>
    <hyperlink ref="C23" r:id="rId47" display="https://climbinggymheaven.com/product/cone-1/" xr:uid="{6287EBEF-0E84-4DBA-803C-5F14621322A8}"/>
    <hyperlink ref="C66" r:id="rId48" display="https://climbinggymheaven.com/product/oval-cone-1/" xr:uid="{3176C745-6F2E-47AC-8687-9D201967A5A1}"/>
    <hyperlink ref="C67" r:id="rId49" display="https://climbinggymheaven.com/product/oval-cone-2/" xr:uid="{5B22A0D3-2EA4-45ED-892C-9C78CD833C12}"/>
    <hyperlink ref="C68" r:id="rId50" display="https://climbinggymheaven.com/product/oval-cone-3/" xr:uid="{869600DB-E7A3-4D1F-A242-7262F1E8B139}"/>
    <hyperlink ref="C69" r:id="rId51" display="https://climbinggymheaven.com/product/oval-cone-4/" xr:uid="{888F4B1F-779C-4A1C-B604-3E3538520FE9}"/>
    <hyperlink ref="C70" r:id="rId52" display="https://climbinggymheaven.com/product/oval-cone-5/" xr:uid="{BA7A31F6-797D-49E4-B7B0-B76E7AD5BEDF}"/>
    <hyperlink ref="C71" r:id="rId53" display="https://climbinggymheaven.com/product/oval-cone-6/" xr:uid="{9326530C-F85C-47C6-BC02-91956F7E7AEE}"/>
    <hyperlink ref="C72" r:id="rId54" display="https://climbinggymheaven.com/product/oval-cone-7/" xr:uid="{89DEC923-0AB0-486D-B616-D82113715C4F}"/>
    <hyperlink ref="C73" r:id="rId55" display="https://climbinggymheaven.com/product/oval-cone-8/" xr:uid="{7CE87C43-6C05-48AA-90D9-761891EF12E3}"/>
    <hyperlink ref="C74" r:id="rId56" display="https://climbinggymheaven.com/product/oval-cone-9/" xr:uid="{E93F4877-C6E6-4352-AC24-3DEB80754CE8}"/>
    <hyperlink ref="C75" r:id="rId57" display="https://climbinggymheaven.com/product/oval-cone-10/" xr:uid="{0E3E3BD7-A2E1-4297-944B-BC59B582B782}"/>
    <hyperlink ref="C88" r:id="rId58" display="https://climbinggymheaven.com/product/oval-cone-11/" xr:uid="{495AD5C3-337F-4E08-B189-245EECD06CE3}"/>
    <hyperlink ref="C89" r:id="rId59" display="https://climbinggymheaven.com/product/oval-cone-12/" xr:uid="{AA6C9EA9-6172-4D96-965E-A3070FADDDF1}"/>
    <hyperlink ref="C90" r:id="rId60" display="https://climbinggymheaven.com/product/oval-cone-13/" xr:uid="{A026AB9C-A638-4CE3-80B7-A71EF41F6B62}"/>
    <hyperlink ref="C91" r:id="rId61" display="https://climbinggymheaven.com/product/oval-cone-14/" xr:uid="{5B747336-9351-44D6-8AC2-B55272F4FD99}"/>
    <hyperlink ref="C92" r:id="rId62" display="https://climbinggymheaven.com/product/oval-cone-15/" xr:uid="{F748C975-5959-4CF4-8769-0C92CCAD0C59}"/>
    <hyperlink ref="C94" r:id="rId63" display="https://climbinggymheaven.com/product/oval-cone-16-dt/" xr:uid="{74B28A32-43A4-41C9-9F97-6833F4D7C5C1}"/>
    <hyperlink ref="C95" r:id="rId64" display="https://climbinggymheaven.com/product/oval-cone-17-dt/" xr:uid="{8363AFAE-7B56-4A97-994A-46254D028380}"/>
    <hyperlink ref="C96" r:id="rId65" display="https://climbinggymheaven.com/product/oval-cone-18-dt/" xr:uid="{4A6BF0FF-ADF0-4B77-99F9-4AB469CC0D7F}"/>
    <hyperlink ref="C97" r:id="rId66" display="https://climbinggymheaven.com/product/oval-cone-19-dt/" xr:uid="{48715867-CAC5-4983-95AB-D056D17C0418}"/>
    <hyperlink ref="C98" r:id="rId67" display="https://climbinggymheaven.com/product/oval-cone-20-dt/" xr:uid="{67837938-62E1-47D0-9933-81532E7D2EDB}"/>
    <hyperlink ref="C99" r:id="rId68" display="https://climbinggymheaven.com/product/oval-cone-21-dt/" xr:uid="{191E3B2B-6FFE-4880-91FC-F3B6BBF1C3F2}"/>
    <hyperlink ref="C100" r:id="rId69" display="https://climbinggymheaven.com/product/oval-cone-22-dt/" xr:uid="{D49437C3-0B79-49AF-BD18-BFE1657223DB}"/>
    <hyperlink ref="C101" r:id="rId70" display="https://climbinggymheaven.com/product/oval-cone-23-dt/" xr:uid="{3D7EAB20-EA55-4F4F-86FF-0EC541DE9D71}"/>
    <hyperlink ref="C102" r:id="rId71" display="https://climbinggymheaven.com/product/oval-cone-24-dt/" xr:uid="{015CDAEC-5AFD-4B5A-A2CB-A6845AEB6166}"/>
    <hyperlink ref="C103" r:id="rId72" display="https://climbinggymheaven.com/product/oval-cone-25-dt/" xr:uid="{F2605495-CDC0-42C8-9934-866D3744D879}"/>
    <hyperlink ref="C9" r:id="rId73" display="https://climbinggymheaven.com/product/izohypse-volume-1-2/" xr:uid="{E4AFFD24-7E23-4F2A-A605-BC546A7D5AF8}"/>
    <hyperlink ref="C10" r:id="rId74" display="https://climbinggymheaven.com/product/izohypse-volume-2/" xr:uid="{E5F10C7A-8988-4DB4-929B-9E3B928923D2}"/>
    <hyperlink ref="C11" r:id="rId75" display="https://climbinggymheaven.com/product/izohypse-volume-3/" xr:uid="{A757779D-57DE-4855-9378-744101535EFF}"/>
    <hyperlink ref="C12" r:id="rId76" display="https://climbinggymheaven.com/product/izohypse-volume-4/" xr:uid="{162110B7-749F-44BA-96B9-5640F431AF6E}"/>
    <hyperlink ref="C13" r:id="rId77" display="https://climbinggymheaven.com/product/izohypse-volume-5/" xr:uid="{B215FE4B-8356-4327-8B13-6F7828B9B378}"/>
    <hyperlink ref="C14" r:id="rId78" display="https://climbinggymheaven.com/product/izohypse-volume-6/" xr:uid="{6E177163-C91A-49C9-990D-8BBD4E164E02}"/>
    <hyperlink ref="C16" r:id="rId79" display="https://climbinggymheaven.com/product/izohypse-volume-1-dt-2/" xr:uid="{1C967EC5-F009-426C-A2DE-1A5C730E1316}"/>
    <hyperlink ref="C17" r:id="rId80" display="https://climbinggymheaven.com/product/izohypse-volume-2-dt/" xr:uid="{37D9F759-FF07-4E71-BE09-0E5D7C837A1C}"/>
    <hyperlink ref="C18" r:id="rId81" display="https://climbinggymheaven.com/product/izohypse-volume-3-dt/" xr:uid="{D1680475-CB87-4981-8106-8AF9683AEDE4}"/>
    <hyperlink ref="C19" r:id="rId82" display="https://climbinggymheaven.com/product/izohypse-volume-4-dt/" xr:uid="{A631FEE7-C007-4FBD-A796-3D281FEB2BED}"/>
    <hyperlink ref="C20" r:id="rId83" display="https://climbinggymheaven.com/product/izohypse-volume-5-dt/" xr:uid="{77067A7B-AB1D-4D93-9108-97DDC5C5E87F}"/>
    <hyperlink ref="C21" r:id="rId84" display="https://climbinggymheaven.com/product/izohypse-volume-6-dt/" xr:uid="{67705FEA-68AB-48CE-8A0E-AF744490AA87}"/>
    <hyperlink ref="C37" r:id="rId85" display="https://climbinggymheaven.com/product/cone-2-dt/" xr:uid="{D6931B4A-2323-45A5-B4D5-D973456BFA11}"/>
    <hyperlink ref="C38" r:id="rId86" display="https://climbinggymheaven.com/product/cone-3-dt/" xr:uid="{9B7B3D7C-1D8C-42DB-AEA3-8C4F13B009B6}"/>
    <hyperlink ref="C39" r:id="rId87" display="https://climbinggymheaven.com/product/cone-4-dt/" xr:uid="{5E1A18A2-FFAF-4CE0-93F2-9C75F4DA1C8A}"/>
    <hyperlink ref="C40" r:id="rId88" display="https://climbinggymheaven.com/product/cone-5-dt/" xr:uid="{B117F738-4EE6-4FAC-ADCF-779F10E29702}"/>
    <hyperlink ref="C41" r:id="rId89" display="https://climbinggymheaven.com/product/cone-7-dt/" xr:uid="{66EDBAD5-606C-451B-A174-FAC8F267FBC9}"/>
    <hyperlink ref="C42" r:id="rId90" display="https://climbinggymheaven.com/product/cone-8-dt/" xr:uid="{0676B972-3EEC-404C-A926-21681E01745C}"/>
    <hyperlink ref="C43" r:id="rId91" display="https://climbinggymheaven.com/product/cone-9-dt-2/" xr:uid="{67CB94EF-ED83-44C4-B903-E5FD48494C9B}"/>
    <hyperlink ref="C45" r:id="rId92" display="https://climbinggymheaven.com/product/cone-11-dt/" xr:uid="{00AE5DAE-898F-4AE4-AF9D-F8D44A72C3F0}"/>
    <hyperlink ref="C46" r:id="rId93" display="https://climbinggymheaven.com/product/cone-12-dt/" xr:uid="{AEF9C436-6DC1-49A9-A110-E5F64BE85123}"/>
    <hyperlink ref="C47" r:id="rId94" display="https://climbinggymheaven.com/product/cone-13-dt/" xr:uid="{2FC88182-0812-41DA-B791-C9E7A67AF9C6}"/>
    <hyperlink ref="C44" r:id="rId95" display="https://climbinggymheaven.com/product/cone-10-dt/" xr:uid="{471A2BC5-50EB-4335-8369-00396B94013B}"/>
    <hyperlink ref="C77" r:id="rId96" display="https://climbinggymheaven.com/product/oval-cone-1-dt-2/" xr:uid="{2E1E8214-6C09-44EE-AEA3-FC8DE9E4F600}"/>
    <hyperlink ref="C78" r:id="rId97" display="https://climbinggymheaven.com/product/oval-cone-2-dt-2/" xr:uid="{D1E83B5A-9A90-4807-A81F-C59080EED313}"/>
    <hyperlink ref="C79" r:id="rId98" display="https://climbinggymheaven.com/product/oval-cone-3-dt/" xr:uid="{5256CF88-ADDA-47B5-BAD6-46B2ED345BAF}"/>
    <hyperlink ref="C80" r:id="rId99" display="https://climbinggymheaven.com/product/oval-cone-4-dt/" xr:uid="{0A6140B2-65C0-48CE-8138-F6C941BF4FFC}"/>
    <hyperlink ref="C81" r:id="rId100" display="https://climbinggymheaven.com/product/oval-cone-5-dt/" xr:uid="{8B22E25E-5CDC-41EC-A324-5BAEA282498D}"/>
    <hyperlink ref="C82" r:id="rId101" display="https://climbinggymheaven.com/product/oval-cone-6-dt/" xr:uid="{49AD1739-A3FB-49F5-B4BA-6FD2EA762112}"/>
    <hyperlink ref="C83" r:id="rId102" display="https://climbinggymheaven.com/product/oval-cone-7-dt/" xr:uid="{63E26A39-9BA9-49AC-BC4F-FFC8BEFAB6A2}"/>
    <hyperlink ref="C84" r:id="rId103" display="https://climbinggymheaven.com/product/oval-cone-8-dt/" xr:uid="{AD92D20E-2337-4743-8A64-4AF906047470}"/>
    <hyperlink ref="C85" r:id="rId104" display="https://climbinggymheaven.com/product/oval-cone-9-dt/" xr:uid="{E6CF9963-E6B8-4080-B56B-B526C4407EAB}"/>
    <hyperlink ref="C86" r:id="rId105" display="https://climbinggymheaven.com/product/oval-cone-10-dt/" xr:uid="{3AD69F81-1A51-4DBD-BEAD-6E6B6D0FD8B4}"/>
    <hyperlink ref="C127" r:id="rId106" display="https://climbinggymheaven.com/product/oval-cone-pinch-1-dt/" xr:uid="{A18ADCBE-D85B-4C75-8C24-572916C25EEB}"/>
    <hyperlink ref="C128" r:id="rId107" display="https://climbinggymheaven.com/product/oval-cone-pinch-2-dt/" xr:uid="{6A96EE16-22F9-4388-B606-8D2DAC843DD6}"/>
    <hyperlink ref="C129" r:id="rId108" display="https://climbinggymheaven.com/product/oval-cone-pinch-3-dt/" xr:uid="{C02256EB-F965-4A82-8D45-674F803CAD4D}"/>
    <hyperlink ref="C130" r:id="rId109" display="https://climbinggymheaven.com/product/oval-cone-pinch-4-dt/" xr:uid="{78E6C56E-B3DB-44F8-91C1-DCB71E1599F0}"/>
    <hyperlink ref="C131" r:id="rId110" display="https://climbinggymheaven.com/product/oval-cone-pinch-5-dt/" xr:uid="{37D83073-0915-46F3-B32A-63B8F44FDD14}"/>
    <hyperlink ref="C132" r:id="rId111" display="https://climbinggymheaven.com/product/oval-cone-pinch-6-dt/" xr:uid="{0A3FF9D0-F797-4282-A3AC-065B8E3F0757}"/>
    <hyperlink ref="C133" r:id="rId112" display="https://climbinggymheaven.com/product/oval-cone-pinch-7-dt/" xr:uid="{35EDF668-0C54-4D30-B7DC-4F3C92146B05}"/>
    <hyperlink ref="C134" r:id="rId113" display="https://climbinggymheaven.com/product/oval-cone-pinch-8-dt/" xr:uid="{E10D045E-2113-4FB6-BAAB-F4AD14D29306}"/>
    <hyperlink ref="C135" r:id="rId114" display="https://climbinggymheaven.com/product/oval-cone-pinch-9-dt/" xr:uid="{4C03E668-9771-4FD5-B25B-8050E365C403}"/>
    <hyperlink ref="C136" r:id="rId115" display="https://climbinggymheaven.com/product/oval-cone-pinch-10-dt/" xr:uid="{23EAE99B-0F5A-4473-89B3-6C6A99DE3B81}"/>
    <hyperlink ref="C149" r:id="rId116" display="https://climbinggymheaven.com/product/oval-cone-16-dt/" xr:uid="{95BD1F60-BA5E-4393-B515-FC59E4D0688D}"/>
    <hyperlink ref="C150" r:id="rId117" display="https://climbinggymheaven.com/product/oval-cone-17-dt/" xr:uid="{EE03EE87-4E0D-4762-AD66-D13263C80E3E}"/>
    <hyperlink ref="C151" r:id="rId118" display="https://climbinggymheaven.com/product/oval-cone-18-dt/" xr:uid="{15CF23E5-B5F5-49D2-B575-52728FF2EA6F}"/>
    <hyperlink ref="C152" r:id="rId119" display="https://climbinggymheaven.com/product/oval-cone-19-dt/" xr:uid="{0D569496-2B42-46C2-A6EE-4BED3568B751}"/>
    <hyperlink ref="C153" r:id="rId120" display="https://climbinggymheaven.com/product/oval-cone-20-dt/" xr:uid="{2C1C340B-76A9-4E0E-9955-9525878FF09F}"/>
    <hyperlink ref="C154" r:id="rId121" display="https://climbinggymheaven.com/product/oval-cone-21-dt/" xr:uid="{BBF88298-3D5C-4FD7-82EB-0BC03742A954}"/>
    <hyperlink ref="C155" r:id="rId122" display="https://climbinggymheaven.com/product/oval-cone-22-dt/" xr:uid="{CA07D368-F422-443B-8E78-DF0DA77B4A5A}"/>
    <hyperlink ref="C156" r:id="rId123" display="https://climbinggymheaven.com/product/oval-cone-23-dt/" xr:uid="{3A8B8B16-5DB1-4288-A914-E36E691741D7}"/>
    <hyperlink ref="C157" r:id="rId124" display="https://climbinggymheaven.com/product/oval-cone-24-dt/" xr:uid="{BA8FCE17-F597-4ED7-908D-65A1E9975883}"/>
    <hyperlink ref="C158" r:id="rId125" display="https://climbinggymheaven.com/product/oval-cone-25-dt/" xr:uid="{544036A0-F2C5-46FB-AF1E-9394CBA53005}"/>
    <hyperlink ref="C161:C171" r:id="rId126" display="https://climbinggymheaven.com/product/oval-cone-16-dt/" xr:uid="{B9CE4B02-DC88-49DB-8019-9A81FEE3A56F}"/>
    <hyperlink ref="C51" r:id="rId127" display="https://climbinggymheaven.com/product/cone-16/" xr:uid="{BCC36166-A5F2-43B3-929B-00E2337F2D8B}"/>
    <hyperlink ref="C160" r:id="rId128" xr:uid="{13EEB14A-A2E6-45E5-A347-0CD8F551ADF9}"/>
    <hyperlink ref="C161" r:id="rId129" xr:uid="{1B411405-D188-41FA-9019-949DC446CAE2}"/>
    <hyperlink ref="C162" r:id="rId130" xr:uid="{B32DF340-CBC5-4D1A-98FC-88409943148B}"/>
    <hyperlink ref="C163" r:id="rId131" xr:uid="{C46886DB-1642-41F2-8EC5-6DE1C5F901E9}"/>
    <hyperlink ref="C164" r:id="rId132" xr:uid="{6BEB013A-901D-4359-A358-A957A6F390B2}"/>
    <hyperlink ref="C165" r:id="rId133" xr:uid="{05101AC7-CC8F-41F1-9B60-F347D08CCA91}"/>
    <hyperlink ref="C166" r:id="rId134" xr:uid="{810770E9-3660-4938-A677-8B6499D73C21}"/>
    <hyperlink ref="C167" r:id="rId135" xr:uid="{9167EDFA-D08E-412E-98A6-41F6D71B89FD}"/>
    <hyperlink ref="C168" r:id="rId136" xr:uid="{17D00BE7-DEA1-4C50-8936-8AA983C68A70}"/>
    <hyperlink ref="C169" r:id="rId137" xr:uid="{E86A4BD5-44FD-4993-8E88-FF93CDD9BA93}"/>
    <hyperlink ref="C170" r:id="rId138" xr:uid="{0DF42A46-A7F6-4350-B619-A6E0B28C40FF}"/>
    <hyperlink ref="C171" r:id="rId139" xr:uid="{7A93E9AD-7FE6-49D7-9E02-708111A81FC2}"/>
    <hyperlink ref="C116" r:id="rId140" xr:uid="{7B74EA1A-39DE-4C3A-B913-77FFE93E80EE}"/>
    <hyperlink ref="C117" r:id="rId141" xr:uid="{71E6615F-7F2B-4D9D-867D-FD19F037DDAF}"/>
    <hyperlink ref="C118" r:id="rId142" xr:uid="{C73D64AC-2300-4334-AFB3-0760FE7BC29D}"/>
    <hyperlink ref="C119" r:id="rId143" xr:uid="{C6A47378-C5A1-40F9-BB71-509477567323}"/>
    <hyperlink ref="C120" r:id="rId144" xr:uid="{A77936ED-83F9-4EEB-AE34-CB7ACFB044C6}"/>
    <hyperlink ref="C121" r:id="rId145" xr:uid="{84B6F104-01C2-404F-AC71-2BAEA2B37F12}"/>
    <hyperlink ref="C122" r:id="rId146" xr:uid="{4AD2C54E-C423-4FB2-A102-74B3118ACDC0}"/>
    <hyperlink ref="C123" r:id="rId147" xr:uid="{357701CB-DE5C-4053-91DA-28E69BDA9FAB}"/>
    <hyperlink ref="C124" r:id="rId148" xr:uid="{74FC7F07-5B30-4CA9-BA91-D82B4AAFA5FC}"/>
    <hyperlink ref="C125" r:id="rId149" xr:uid="{B187B2D3-C3D3-4AC0-8B04-C26C40A5AD35}"/>
    <hyperlink ref="C184" r:id="rId150" xr:uid="{4921851A-62B0-4D8D-BA4A-18C45975209D}"/>
    <hyperlink ref="C185" r:id="rId151" xr:uid="{8B677B57-9AEA-4AE5-912F-18462E0BE7F4}"/>
    <hyperlink ref="C186" r:id="rId152" xr:uid="{A14750D3-D464-425F-A8E6-18B3341EA244}"/>
    <hyperlink ref="C187" r:id="rId153" xr:uid="{AB46E89D-E131-4D11-9146-4C25C90C6B9C}"/>
    <hyperlink ref="C188" r:id="rId154" xr:uid="{F45B77B6-45A8-484A-B048-5E8B1ADBC916}"/>
    <hyperlink ref="C189" r:id="rId155" xr:uid="{1FCD1DE5-E22A-43D2-8443-3AD77255A2BF}"/>
    <hyperlink ref="C190" r:id="rId156" xr:uid="{DDD5391B-8596-447E-BE40-58AF3F7DFD8D}"/>
    <hyperlink ref="C191" r:id="rId157" xr:uid="{93E91FBB-14AD-4549-BCCA-D2EDD6255A53}"/>
    <hyperlink ref="C192" r:id="rId158" xr:uid="{D5D97334-AC19-4A8A-A008-464DE3184AFF}"/>
    <hyperlink ref="C193" r:id="rId159" xr:uid="{84DCD310-9DB9-4489-8592-A8D3486B49B3}"/>
    <hyperlink ref="C194" r:id="rId160" xr:uid="{A43862D3-B9C8-4996-9588-613E47A8CB9A}"/>
    <hyperlink ref="C195" r:id="rId161" xr:uid="{D1F17E75-3AD3-46E7-9FFF-95A34B281104}"/>
    <hyperlink ref="C196" r:id="rId162" xr:uid="{D9B494D3-F728-4B23-B11E-90D6C0BC7198}"/>
  </hyperlinks>
  <pageMargins left="0.7" right="0.7" top="0.75" bottom="0.75" header="0.3" footer="0.3"/>
  <pageSetup paperSize="9" scale="40" orientation="portrait" r:id="rId163"/>
  <drawing r:id="rId164"/>
  <tableParts count="1">
    <tablePart r:id="rId16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EDA6-E4F6-4621-8542-C1C0B3D229C1}">
  <sheetPr codeName="List8">
    <tabColor theme="1"/>
    <pageSetUpPr fitToPage="1"/>
  </sheetPr>
  <dimension ref="B1:AI157"/>
  <sheetViews>
    <sheetView showGridLines="0" zoomScaleNormal="100" zoomScaleSheetLayoutView="55" workbookViewId="0">
      <pane ySplit="7" topLeftCell="A8" activePane="bottomLeft" state="frozen"/>
      <selection pane="bottomLeft" activeCell="Y1" sqref="Y1"/>
    </sheetView>
  </sheetViews>
  <sheetFormatPr defaultColWidth="8.85546875" defaultRowHeight="15" x14ac:dyDescent="0.25"/>
  <cols>
    <col min="1" max="1" width="21.5703125" style="30" customWidth="1"/>
    <col min="2" max="2" width="10.42578125" style="29" hidden="1" customWidth="1"/>
    <col min="3" max="3" width="18.5703125" style="30" bestFit="1" customWidth="1"/>
    <col min="4" max="4" width="8.5703125" style="30" customWidth="1"/>
    <col min="5" max="5" width="12" style="30" customWidth="1"/>
    <col min="6" max="8" width="13" style="30" hidden="1" customWidth="1"/>
    <col min="9" max="10" width="8.5703125" style="30" hidden="1" customWidth="1"/>
    <col min="11" max="11" width="10.5703125" style="30" hidden="1" customWidth="1"/>
    <col min="12" max="12" width="8.5703125" style="30" hidden="1" customWidth="1"/>
    <col min="13" max="13" width="11.140625" style="30" hidden="1" customWidth="1"/>
    <col min="14" max="14" width="2.28515625" style="30" hidden="1" customWidth="1"/>
    <col min="15" max="15" width="11" style="30" customWidth="1"/>
    <col min="16" max="16" width="9.7109375" style="30" bestFit="1" customWidth="1"/>
    <col min="17" max="17" width="8.85546875" style="30" customWidth="1"/>
    <col min="18" max="18" width="10.42578125" style="30" bestFit="1" customWidth="1"/>
    <col min="19" max="26" width="8.5703125" style="30" customWidth="1"/>
    <col min="27" max="28" width="8.5703125" style="219" customWidth="1"/>
    <col min="29" max="29" width="8.5703125" style="30" hidden="1" customWidth="1"/>
    <col min="30" max="30" width="13.5703125" style="30" hidden="1" customWidth="1"/>
    <col min="36" max="37" width="6.42578125" style="30" customWidth="1"/>
    <col min="38" max="39" width="7.5703125" style="30" bestFit="1" customWidth="1"/>
    <col min="40" max="40" width="11.5703125" style="30" customWidth="1"/>
    <col min="41" max="41" width="7.5703125" style="30" bestFit="1" customWidth="1"/>
    <col min="42" max="42" width="9.5703125" style="30" customWidth="1"/>
    <col min="43" max="16384" width="8.85546875" style="30"/>
  </cols>
  <sheetData>
    <row r="1" spans="2:35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AE1" s="30"/>
      <c r="AF1" s="30"/>
      <c r="AG1" s="30"/>
      <c r="AH1" s="30"/>
      <c r="AI1" s="30"/>
    </row>
    <row r="2" spans="2:35" ht="21" customHeight="1" thickBot="1" x14ac:dyDescent="0.25">
      <c r="B2" s="59"/>
      <c r="C2" s="58"/>
      <c r="D2" s="58"/>
      <c r="E2" s="58"/>
      <c r="F2" s="58"/>
      <c r="G2" s="58"/>
      <c r="H2" s="58"/>
      <c r="I2" s="58"/>
      <c r="J2" s="58"/>
      <c r="K2" s="162" t="s">
        <v>1371</v>
      </c>
      <c r="L2" s="163" t="s">
        <v>1342</v>
      </c>
      <c r="M2" s="58"/>
      <c r="N2" s="58"/>
      <c r="O2" s="58"/>
      <c r="P2" s="58"/>
      <c r="Q2" s="58"/>
      <c r="R2" s="164"/>
      <c r="S2" s="165"/>
      <c r="X2" s="58"/>
      <c r="Y2" s="58"/>
      <c r="Z2" s="58"/>
      <c r="AA2" s="567"/>
      <c r="AB2" s="567"/>
      <c r="AC2" s="567"/>
      <c r="AD2" s="567"/>
      <c r="AE2" s="30"/>
      <c r="AF2" s="30"/>
      <c r="AG2" s="30"/>
      <c r="AH2" s="30"/>
      <c r="AI2" s="30"/>
    </row>
    <row r="3" spans="2:35" ht="18" customHeight="1" thickBot="1" x14ac:dyDescent="0.3">
      <c r="C3" s="549" t="s">
        <v>0</v>
      </c>
      <c r="D3" s="569"/>
      <c r="E3" s="564">
        <f>SUM(P8:P61)</f>
        <v>0</v>
      </c>
      <c r="F3" s="565"/>
      <c r="G3" s="418"/>
      <c r="H3" s="418"/>
      <c r="I3" s="197"/>
      <c r="J3" s="197"/>
      <c r="K3" s="166">
        <f>SUM(N9:N51)</f>
        <v>0</v>
      </c>
      <c r="L3" s="167">
        <f>E3-K3</f>
        <v>0</v>
      </c>
    </row>
    <row r="4" spans="2:35" ht="18" customHeight="1" thickBot="1" x14ac:dyDescent="0.3">
      <c r="C4" s="547" t="s">
        <v>19</v>
      </c>
      <c r="D4" s="568"/>
      <c r="E4" s="566">
        <f>SUM(G10:G62)</f>
        <v>0</v>
      </c>
      <c r="F4" s="533"/>
      <c r="G4" s="419"/>
      <c r="H4" s="419"/>
      <c r="I4" s="197"/>
      <c r="P4" s="536" t="s">
        <v>1202</v>
      </c>
      <c r="Q4" s="537"/>
      <c r="S4" s="481">
        <f t="shared" ref="S4:AD4" si="0">SUM(S8:S58)</f>
        <v>0</v>
      </c>
      <c r="T4" s="472">
        <f t="shared" si="0"/>
        <v>0</v>
      </c>
      <c r="U4" s="471">
        <f t="shared" si="0"/>
        <v>0</v>
      </c>
      <c r="V4" s="443">
        <f t="shared" si="0"/>
        <v>0</v>
      </c>
      <c r="W4" s="473">
        <f t="shared" si="0"/>
        <v>0</v>
      </c>
      <c r="X4" s="474">
        <f t="shared" si="0"/>
        <v>0</v>
      </c>
      <c r="Y4" s="446">
        <f t="shared" si="0"/>
        <v>0</v>
      </c>
      <c r="Z4" s="475">
        <f t="shared" si="0"/>
        <v>0</v>
      </c>
      <c r="AA4" s="476">
        <f t="shared" si="0"/>
        <v>0</v>
      </c>
      <c r="AB4" s="450">
        <f t="shared" si="0"/>
        <v>0</v>
      </c>
      <c r="AC4" s="320">
        <f t="shared" si="0"/>
        <v>0</v>
      </c>
      <c r="AD4" s="110">
        <f t="shared" si="0"/>
        <v>0</v>
      </c>
    </row>
    <row r="5" spans="2:35" ht="4.5" customHeight="1" thickBot="1" x14ac:dyDescent="0.3">
      <c r="C5" s="170"/>
      <c r="D5" s="170"/>
      <c r="E5" s="171"/>
      <c r="F5" s="171"/>
      <c r="G5" s="171"/>
      <c r="H5" s="171"/>
    </row>
    <row r="6" spans="2:35" ht="15.75" hidden="1" thickBot="1" x14ac:dyDescent="0.3">
      <c r="P6" s="32"/>
      <c r="S6" s="214">
        <f t="shared" ref="S6:AD6" si="1">SUM(S8:S58)</f>
        <v>0</v>
      </c>
      <c r="T6" s="214">
        <f t="shared" si="1"/>
        <v>0</v>
      </c>
      <c r="U6" s="214">
        <f t="shared" si="1"/>
        <v>0</v>
      </c>
      <c r="V6" s="214">
        <f t="shared" si="1"/>
        <v>0</v>
      </c>
      <c r="W6" s="214">
        <f t="shared" si="1"/>
        <v>0</v>
      </c>
      <c r="X6" s="214">
        <f t="shared" si="1"/>
        <v>0</v>
      </c>
      <c r="Y6" s="214">
        <f t="shared" si="1"/>
        <v>0</v>
      </c>
      <c r="Z6" s="214">
        <f t="shared" si="1"/>
        <v>0</v>
      </c>
      <c r="AA6" s="459">
        <f t="shared" si="1"/>
        <v>0</v>
      </c>
      <c r="AB6" s="459">
        <f t="shared" si="1"/>
        <v>0</v>
      </c>
      <c r="AC6" s="214">
        <f t="shared" si="1"/>
        <v>0</v>
      </c>
      <c r="AD6" s="214">
        <f t="shared" si="1"/>
        <v>0</v>
      </c>
      <c r="AE6" s="30"/>
      <c r="AF6" s="30"/>
      <c r="AG6" s="30"/>
      <c r="AH6" s="30"/>
      <c r="AI6" s="30"/>
    </row>
    <row r="7" spans="2:35" ht="36.6" customHeight="1" thickBot="1" x14ac:dyDescent="0.25">
      <c r="B7" s="26" t="s">
        <v>988</v>
      </c>
      <c r="C7" s="34" t="s">
        <v>86</v>
      </c>
      <c r="D7" s="199" t="s">
        <v>989</v>
      </c>
      <c r="E7" s="35" t="s">
        <v>13</v>
      </c>
      <c r="F7" s="35" t="s">
        <v>3</v>
      </c>
      <c r="G7" s="60" t="s">
        <v>2004</v>
      </c>
      <c r="H7" s="60" t="s">
        <v>1988</v>
      </c>
      <c r="I7" s="60" t="s">
        <v>237</v>
      </c>
      <c r="J7" s="485" t="s">
        <v>2064</v>
      </c>
      <c r="K7" s="173" t="s">
        <v>1373</v>
      </c>
      <c r="L7" s="173" t="s">
        <v>1374</v>
      </c>
      <c r="M7" s="173" t="s">
        <v>1371</v>
      </c>
      <c r="N7" s="160" t="s">
        <v>1372</v>
      </c>
      <c r="O7" s="491" t="s">
        <v>2069</v>
      </c>
      <c r="P7" s="65" t="s">
        <v>85</v>
      </c>
      <c r="Q7" s="66" t="s">
        <v>1407</v>
      </c>
      <c r="R7" s="66" t="s">
        <v>11</v>
      </c>
      <c r="S7" s="61" t="s">
        <v>657</v>
      </c>
      <c r="T7" s="27" t="s">
        <v>84</v>
      </c>
      <c r="U7" s="27" t="s">
        <v>14</v>
      </c>
      <c r="V7" s="28" t="s">
        <v>926</v>
      </c>
      <c r="W7" s="28" t="s">
        <v>5</v>
      </c>
      <c r="X7" s="27" t="s">
        <v>6</v>
      </c>
      <c r="Y7" s="27" t="s">
        <v>7</v>
      </c>
      <c r="Z7" s="27" t="s">
        <v>927</v>
      </c>
      <c r="AA7" s="28" t="s">
        <v>198</v>
      </c>
      <c r="AB7" s="28" t="s">
        <v>8</v>
      </c>
      <c r="AC7" s="200" t="s">
        <v>821</v>
      </c>
      <c r="AD7" s="174" t="s">
        <v>1276</v>
      </c>
      <c r="AE7" s="30"/>
      <c r="AF7" s="30"/>
      <c r="AG7" s="30"/>
      <c r="AH7" s="30"/>
      <c r="AI7" s="30"/>
    </row>
    <row r="8" spans="2:35" ht="12" customHeight="1" thickBot="1" x14ac:dyDescent="0.25">
      <c r="B8" s="122" t="s">
        <v>822</v>
      </c>
      <c r="C8" s="125" t="s">
        <v>1137</v>
      </c>
      <c r="D8" s="126"/>
      <c r="E8" s="124"/>
      <c r="F8" s="124"/>
      <c r="G8" s="124" cm="1">
        <f t="array" ref="G8">SUM(Tabela178[[#This Row],[RAL 1023]:[Custom made colour (7% add price)]]*Tabela178[[#This Row],[PCS BY PACKS]])</f>
        <v>0</v>
      </c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40"/>
      <c r="S8" s="80"/>
      <c r="T8" s="80"/>
      <c r="U8" s="80"/>
      <c r="V8" s="80"/>
      <c r="W8" s="80"/>
      <c r="X8" s="80"/>
      <c r="Y8" s="80"/>
      <c r="Z8" s="80"/>
      <c r="AA8" s="457"/>
      <c r="AB8" s="454"/>
      <c r="AC8" s="202"/>
      <c r="AD8" s="203"/>
      <c r="AE8" s="30"/>
      <c r="AF8" s="30"/>
      <c r="AG8" s="30"/>
      <c r="AH8" s="30"/>
      <c r="AI8" s="30"/>
    </row>
    <row r="9" spans="2:35" ht="12" customHeight="1" thickBot="1" x14ac:dyDescent="0.25">
      <c r="B9" s="45" t="s">
        <v>823</v>
      </c>
      <c r="C9" s="94" t="s">
        <v>949</v>
      </c>
      <c r="D9" s="204" t="s">
        <v>1289</v>
      </c>
      <c r="E9" s="48" t="s">
        <v>870</v>
      </c>
      <c r="F9" s="47">
        <v>2.99</v>
      </c>
      <c r="G9" s="47" cm="1">
        <f t="array" ref="G9">SUM(Tabela178[[#This Row],[RAL 1023]:[Custom made colour (7% add price)]]*Tabela178[[#This Row],[PCS BY PACKS]])</f>
        <v>0</v>
      </c>
      <c r="H9" s="47">
        <v>1</v>
      </c>
      <c r="I9" s="224">
        <v>91</v>
      </c>
      <c r="J9" s="224">
        <f>ROUNDUP(Tabela178[[#This Row],[PRICE]]*(1+PRICES!$C$5),0)</f>
        <v>110</v>
      </c>
      <c r="K9" s="158">
        <v>0.15</v>
      </c>
      <c r="L9" s="49">
        <f>Tabela178[[#This Row],[PRICE]]*Tabela178[[#This Row],[DISCOUNT per piece '[%']]]</f>
        <v>13.65</v>
      </c>
      <c r="M9" s="49">
        <f>Tabela178[[#This Row],[PRICE]]*(1-Tabela178[[#This Row],[DISCOUNT per piece '[%']]])</f>
        <v>77.349999999999994</v>
      </c>
      <c r="N9" s="178">
        <f>Tabela178[[#This Row],[PCS]]*Tabela178[[#This Row],[PROMOTIONAL PRICE]]</f>
        <v>0</v>
      </c>
      <c r="O9" s="498" cm="1">
        <f t="array" ref="O9">ROUNDUP(Tabela178[[#This Row],[NEW PRICE]]*eurofxref_daily[],2)</f>
        <v>176.97</v>
      </c>
      <c r="P9" s="506">
        <f>Tabela178[[#This Row],[CAD PRICE]]*SUM(S9:AC9)</f>
        <v>0</v>
      </c>
      <c r="Q9" s="62">
        <f>SUM(Tabela178[[#This Row],[RAL 1023]:[Custom made colour (7% add price)]])</f>
        <v>0</v>
      </c>
      <c r="R9" s="62">
        <f t="shared" ref="R9:R43" si="2">Q9*F9</f>
        <v>0</v>
      </c>
      <c r="S9" s="482"/>
      <c r="T9" s="486"/>
      <c r="U9" s="466"/>
      <c r="V9" s="435"/>
      <c r="W9" s="467"/>
      <c r="X9" s="468"/>
      <c r="Y9" s="436"/>
      <c r="Z9" s="470"/>
      <c r="AA9" s="469"/>
      <c r="AB9" s="449"/>
      <c r="AC9" s="82"/>
      <c r="AD9" s="205"/>
      <c r="AE9" s="30"/>
      <c r="AF9" s="30"/>
      <c r="AG9" s="30"/>
      <c r="AH9" s="30"/>
      <c r="AI9" s="30"/>
    </row>
    <row r="10" spans="2:35" ht="12" customHeight="1" thickBot="1" x14ac:dyDescent="0.25">
      <c r="B10" s="29" t="s">
        <v>824</v>
      </c>
      <c r="C10" s="92" t="s">
        <v>950</v>
      </c>
      <c r="D10" s="204" t="s">
        <v>1290</v>
      </c>
      <c r="E10" s="78" t="s">
        <v>871</v>
      </c>
      <c r="F10" s="77">
        <v>4.83</v>
      </c>
      <c r="G10" s="77" cm="1">
        <f t="array" ref="G10">SUM(Tabela178[[#This Row],[RAL 1023]:[Custom made colour (7% add price)]]*Tabela178[[#This Row],[PCS BY PACKS]])</f>
        <v>0</v>
      </c>
      <c r="H10" s="47">
        <v>1</v>
      </c>
      <c r="I10" s="224">
        <v>159</v>
      </c>
      <c r="J10" s="224">
        <f>ROUNDUP(Tabela178[[#This Row],[PRICE]]*(1+PRICES!$C$5),0)</f>
        <v>191</v>
      </c>
      <c r="K10" s="175">
        <v>0.15</v>
      </c>
      <c r="L10" s="79">
        <f>Tabela178[[#This Row],[PRICE]]*Tabela178[[#This Row],[DISCOUNT per piece '[%']]]</f>
        <v>23.849999999999998</v>
      </c>
      <c r="M10" s="79">
        <f>Tabela178[[#This Row],[PRICE]]*(1-Tabela178[[#This Row],[DISCOUNT per piece '[%']]])</f>
        <v>135.15</v>
      </c>
      <c r="N10" s="176">
        <f>Tabela178[[#This Row],[PCS]]*Tabela178[[#This Row],[PROMOTIONAL PRICE]]</f>
        <v>0</v>
      </c>
      <c r="O10" s="498" cm="1">
        <f t="array" ref="O10">ROUNDUP(Tabela178[[#This Row],[NEW PRICE]]*eurofxref_daily[],2)</f>
        <v>307.28999999999996</v>
      </c>
      <c r="P10" s="506">
        <f>Tabela178[[#This Row],[CAD PRICE]]*SUM(S10:AC10)</f>
        <v>0</v>
      </c>
      <c r="Q10" s="62">
        <f>SUM(Tabela178[[#This Row],[RAL 1023]:[Custom made colour (7% add price)]])</f>
        <v>0</v>
      </c>
      <c r="R10" s="62">
        <f t="shared" si="2"/>
        <v>0</v>
      </c>
      <c r="S10" s="482"/>
      <c r="T10" s="486"/>
      <c r="U10" s="466"/>
      <c r="V10" s="435"/>
      <c r="W10" s="467"/>
      <c r="X10" s="468"/>
      <c r="Y10" s="436"/>
      <c r="Z10" s="470"/>
      <c r="AA10" s="469"/>
      <c r="AB10" s="449"/>
      <c r="AC10" s="82"/>
      <c r="AD10" s="206"/>
      <c r="AE10" s="30"/>
      <c r="AF10" s="30"/>
      <c r="AG10" s="30"/>
      <c r="AH10" s="30"/>
      <c r="AI10" s="30"/>
    </row>
    <row r="11" spans="2:35" ht="12" customHeight="1" thickBot="1" x14ac:dyDescent="0.25">
      <c r="B11" s="29" t="s">
        <v>825</v>
      </c>
      <c r="C11" s="92" t="s">
        <v>951</v>
      </c>
      <c r="D11" s="204" t="s">
        <v>1291</v>
      </c>
      <c r="E11" s="48" t="s">
        <v>872</v>
      </c>
      <c r="F11" s="47">
        <v>1.85</v>
      </c>
      <c r="G11" s="47" cm="1">
        <f t="array" ref="G11">SUM(Tabela178[[#This Row],[RAL 1023]:[Custom made colour (7% add price)]]*Tabela178[[#This Row],[PCS BY PACKS]])</f>
        <v>0</v>
      </c>
      <c r="H11" s="47">
        <v>1</v>
      </c>
      <c r="I11" s="224">
        <v>78</v>
      </c>
      <c r="J11" s="224">
        <f>ROUNDUP(Tabela178[[#This Row],[PRICE]]*(1+PRICES!$C$5),0)</f>
        <v>94</v>
      </c>
      <c r="K11" s="158">
        <v>0.15</v>
      </c>
      <c r="L11" s="49">
        <f>Tabela178[[#This Row],[PRICE]]*Tabela178[[#This Row],[DISCOUNT per piece '[%']]]</f>
        <v>11.7</v>
      </c>
      <c r="M11" s="49">
        <f>Tabela178[[#This Row],[PRICE]]*(1-Tabela178[[#This Row],[DISCOUNT per piece '[%']]])</f>
        <v>66.3</v>
      </c>
      <c r="N11" s="178">
        <f>Tabela178[[#This Row],[PCS]]*Tabela178[[#This Row],[PROMOTIONAL PRICE]]</f>
        <v>0</v>
      </c>
      <c r="O11" s="498" cm="1">
        <f t="array" ref="O11">ROUNDUP(Tabela178[[#This Row],[NEW PRICE]]*eurofxref_daily[],2)</f>
        <v>151.22999999999999</v>
      </c>
      <c r="P11" s="506">
        <f>Tabela178[[#This Row],[CAD PRICE]]*SUM(S11:AC11)</f>
        <v>0</v>
      </c>
      <c r="Q11" s="62">
        <f>SUM(Tabela178[[#This Row],[RAL 1023]:[Custom made colour (7% add price)]])</f>
        <v>0</v>
      </c>
      <c r="R11" s="128">
        <f t="shared" si="2"/>
        <v>0</v>
      </c>
      <c r="S11" s="482"/>
      <c r="T11" s="486"/>
      <c r="U11" s="466"/>
      <c r="V11" s="435"/>
      <c r="W11" s="467"/>
      <c r="X11" s="468"/>
      <c r="Y11" s="436"/>
      <c r="Z11" s="470"/>
      <c r="AA11" s="469"/>
      <c r="AB11" s="449"/>
      <c r="AC11" s="83"/>
      <c r="AD11" s="206"/>
      <c r="AE11" s="30"/>
      <c r="AF11" s="30"/>
      <c r="AG11" s="30"/>
      <c r="AH11" s="30"/>
      <c r="AI11" s="30"/>
    </row>
    <row r="12" spans="2:35" ht="12" customHeight="1" thickBot="1" x14ac:dyDescent="0.25">
      <c r="B12" s="29" t="s">
        <v>826</v>
      </c>
      <c r="C12" s="92" t="s">
        <v>952</v>
      </c>
      <c r="D12" s="204" t="s">
        <v>1292</v>
      </c>
      <c r="E12" s="48" t="s">
        <v>870</v>
      </c>
      <c r="F12" s="47">
        <v>2.09</v>
      </c>
      <c r="G12" s="47" cm="1">
        <f t="array" ref="G12">SUM(Tabela178[[#This Row],[RAL 1023]:[Custom made colour (7% add price)]]*Tabela178[[#This Row],[PCS BY PACKS]])</f>
        <v>0</v>
      </c>
      <c r="H12" s="47">
        <v>1</v>
      </c>
      <c r="I12" s="224">
        <v>78</v>
      </c>
      <c r="J12" s="224">
        <f>ROUNDUP(Tabela178[[#This Row],[PRICE]]*(1+PRICES!$C$5),0)</f>
        <v>94</v>
      </c>
      <c r="K12" s="158">
        <v>0.15</v>
      </c>
      <c r="L12" s="49">
        <f>Tabela178[[#This Row],[PRICE]]*Tabela178[[#This Row],[DISCOUNT per piece '[%']]]</f>
        <v>11.7</v>
      </c>
      <c r="M12" s="49">
        <f>Tabela178[[#This Row],[PRICE]]*(1-Tabela178[[#This Row],[DISCOUNT per piece '[%']]])</f>
        <v>66.3</v>
      </c>
      <c r="N12" s="178">
        <f>Tabela178[[#This Row],[PCS]]*Tabela178[[#This Row],[PROMOTIONAL PRICE]]</f>
        <v>0</v>
      </c>
      <c r="O12" s="498" cm="1">
        <f t="array" ref="O12">ROUNDUP(Tabela178[[#This Row],[NEW PRICE]]*eurofxref_daily[],2)</f>
        <v>151.22999999999999</v>
      </c>
      <c r="P12" s="506">
        <f>Tabela178[[#This Row],[CAD PRICE]]*SUM(S12:AC12)</f>
        <v>0</v>
      </c>
      <c r="Q12" s="62">
        <f>SUM(Tabela178[[#This Row],[RAL 1023]:[Custom made colour (7% add price)]])</f>
        <v>0</v>
      </c>
      <c r="R12" s="128">
        <f t="shared" si="2"/>
        <v>0</v>
      </c>
      <c r="S12" s="482"/>
      <c r="T12" s="486"/>
      <c r="U12" s="466"/>
      <c r="V12" s="435"/>
      <c r="W12" s="467"/>
      <c r="X12" s="468"/>
      <c r="Y12" s="436"/>
      <c r="Z12" s="470"/>
      <c r="AA12" s="469"/>
      <c r="AB12" s="449"/>
      <c r="AC12" s="83"/>
      <c r="AD12" s="206"/>
      <c r="AE12" s="30"/>
      <c r="AF12" s="30"/>
      <c r="AG12" s="30"/>
      <c r="AH12" s="30"/>
      <c r="AI12" s="30"/>
    </row>
    <row r="13" spans="2:35" ht="12" customHeight="1" thickBot="1" x14ac:dyDescent="0.25">
      <c r="B13" s="29" t="s">
        <v>827</v>
      </c>
      <c r="C13" s="92" t="s">
        <v>953</v>
      </c>
      <c r="D13" s="204" t="s">
        <v>1293</v>
      </c>
      <c r="E13" s="48" t="s">
        <v>873</v>
      </c>
      <c r="F13" s="47">
        <v>2.34</v>
      </c>
      <c r="G13" s="47" cm="1">
        <f t="array" ref="G13">SUM(Tabela178[[#This Row],[RAL 1023]:[Custom made colour (7% add price)]]*Tabela178[[#This Row],[PCS BY PACKS]])</f>
        <v>0</v>
      </c>
      <c r="H13" s="47">
        <v>1</v>
      </c>
      <c r="I13" s="224">
        <v>83</v>
      </c>
      <c r="J13" s="224">
        <f>ROUNDUP(Tabela178[[#This Row],[PRICE]]*(1+PRICES!$C$5),0)</f>
        <v>100</v>
      </c>
      <c r="K13" s="158">
        <v>0.15</v>
      </c>
      <c r="L13" s="49">
        <f>Tabela178[[#This Row],[PRICE]]*Tabela178[[#This Row],[DISCOUNT per piece '[%']]]</f>
        <v>12.45</v>
      </c>
      <c r="M13" s="49">
        <f>Tabela178[[#This Row],[PRICE]]*(1-Tabela178[[#This Row],[DISCOUNT per piece '[%']]])</f>
        <v>70.55</v>
      </c>
      <c r="N13" s="178">
        <f>Tabela178[[#This Row],[PCS]]*Tabela178[[#This Row],[PROMOTIONAL PRICE]]</f>
        <v>0</v>
      </c>
      <c r="O13" s="498" cm="1">
        <f t="array" ref="O13">ROUNDUP(Tabela178[[#This Row],[NEW PRICE]]*eurofxref_daily[],2)</f>
        <v>160.88</v>
      </c>
      <c r="P13" s="506">
        <f>Tabela178[[#This Row],[CAD PRICE]]*SUM(S13:AC13)</f>
        <v>0</v>
      </c>
      <c r="Q13" s="62">
        <f>SUM(Tabela178[[#This Row],[RAL 1023]:[Custom made colour (7% add price)]])</f>
        <v>0</v>
      </c>
      <c r="R13" s="128">
        <f t="shared" si="2"/>
        <v>0</v>
      </c>
      <c r="S13" s="482"/>
      <c r="T13" s="486"/>
      <c r="U13" s="466"/>
      <c r="V13" s="435"/>
      <c r="W13" s="467"/>
      <c r="X13" s="468"/>
      <c r="Y13" s="436"/>
      <c r="Z13" s="470"/>
      <c r="AA13" s="469"/>
      <c r="AB13" s="449"/>
      <c r="AC13" s="83"/>
      <c r="AD13" s="206"/>
      <c r="AE13" s="30"/>
      <c r="AF13" s="30"/>
      <c r="AG13" s="30"/>
      <c r="AH13" s="30"/>
      <c r="AI13" s="30"/>
    </row>
    <row r="14" spans="2:35" ht="12" customHeight="1" thickBot="1" x14ac:dyDescent="0.25">
      <c r="B14" s="29" t="s">
        <v>828</v>
      </c>
      <c r="C14" s="92" t="s">
        <v>954</v>
      </c>
      <c r="D14" s="204" t="s">
        <v>1294</v>
      </c>
      <c r="E14" s="48" t="s">
        <v>873</v>
      </c>
      <c r="F14" s="47">
        <v>3.36</v>
      </c>
      <c r="G14" s="47" cm="1">
        <f t="array" ref="G14">SUM(Tabela178[[#This Row],[RAL 1023]:[Custom made colour (7% add price)]]*Tabela178[[#This Row],[PCS BY PACKS]])</f>
        <v>0</v>
      </c>
      <c r="H14" s="47">
        <v>1</v>
      </c>
      <c r="I14" s="224">
        <v>101</v>
      </c>
      <c r="J14" s="224">
        <f>ROUNDUP(Tabela178[[#This Row],[PRICE]]*(1+PRICES!$C$5),0)</f>
        <v>122</v>
      </c>
      <c r="K14" s="158">
        <v>0.15</v>
      </c>
      <c r="L14" s="49">
        <f>Tabela178[[#This Row],[PRICE]]*Tabela178[[#This Row],[DISCOUNT per piece '[%']]]</f>
        <v>15.149999999999999</v>
      </c>
      <c r="M14" s="49">
        <f>Tabela178[[#This Row],[PRICE]]*(1-Tabela178[[#This Row],[DISCOUNT per piece '[%']]])</f>
        <v>85.85</v>
      </c>
      <c r="N14" s="178">
        <f>Tabela178[[#This Row],[PCS]]*Tabela178[[#This Row],[PROMOTIONAL PRICE]]</f>
        <v>0</v>
      </c>
      <c r="O14" s="498" cm="1">
        <f t="array" ref="O14">ROUNDUP(Tabela178[[#This Row],[NEW PRICE]]*eurofxref_daily[],2)</f>
        <v>196.28</v>
      </c>
      <c r="P14" s="506">
        <f>Tabela178[[#This Row],[CAD PRICE]]*SUM(S14:AC14)</f>
        <v>0</v>
      </c>
      <c r="Q14" s="62">
        <f>SUM(Tabela178[[#This Row],[RAL 1023]:[Custom made colour (7% add price)]])</f>
        <v>0</v>
      </c>
      <c r="R14" s="128">
        <f t="shared" si="2"/>
        <v>0</v>
      </c>
      <c r="S14" s="482"/>
      <c r="T14" s="486"/>
      <c r="U14" s="466"/>
      <c r="V14" s="435"/>
      <c r="W14" s="467"/>
      <c r="X14" s="468"/>
      <c r="Y14" s="436"/>
      <c r="Z14" s="470"/>
      <c r="AA14" s="469"/>
      <c r="AB14" s="449"/>
      <c r="AC14" s="83"/>
      <c r="AD14" s="206"/>
      <c r="AE14" s="30"/>
      <c r="AF14" s="30"/>
      <c r="AG14" s="30"/>
      <c r="AH14" s="30"/>
      <c r="AI14" s="30"/>
    </row>
    <row r="15" spans="2:35" ht="12" customHeight="1" thickBot="1" x14ac:dyDescent="0.25">
      <c r="B15" s="29" t="s">
        <v>829</v>
      </c>
      <c r="C15" s="92" t="s">
        <v>955</v>
      </c>
      <c r="D15" s="204" t="s">
        <v>1295</v>
      </c>
      <c r="E15" s="48" t="s">
        <v>874</v>
      </c>
      <c r="F15" s="47">
        <v>1.05</v>
      </c>
      <c r="G15" s="47" cm="1">
        <f t="array" ref="G15">SUM(Tabela178[[#This Row],[RAL 1023]:[Custom made colour (7% add price)]]*Tabela178[[#This Row],[PCS BY PACKS]])</f>
        <v>0</v>
      </c>
      <c r="H15" s="47">
        <v>1</v>
      </c>
      <c r="I15" s="224">
        <v>51</v>
      </c>
      <c r="J15" s="224">
        <f>ROUNDUP(Tabela178[[#This Row],[PRICE]]*(1+PRICES!$C$5),0)</f>
        <v>62</v>
      </c>
      <c r="K15" s="158">
        <v>0.15</v>
      </c>
      <c r="L15" s="49">
        <f>Tabela178[[#This Row],[PRICE]]*Tabela178[[#This Row],[DISCOUNT per piece '[%']]]</f>
        <v>7.6499999999999995</v>
      </c>
      <c r="M15" s="49">
        <f>Tabela178[[#This Row],[PRICE]]*(1-Tabela178[[#This Row],[DISCOUNT per piece '[%']]])</f>
        <v>43.35</v>
      </c>
      <c r="N15" s="178">
        <f>Tabela178[[#This Row],[PCS]]*Tabela178[[#This Row],[PROMOTIONAL PRICE]]</f>
        <v>0</v>
      </c>
      <c r="O15" s="498" cm="1">
        <f t="array" ref="O15">ROUNDUP(Tabela178[[#This Row],[NEW PRICE]]*eurofxref_daily[],2)</f>
        <v>99.75</v>
      </c>
      <c r="P15" s="506">
        <f>Tabela178[[#This Row],[CAD PRICE]]*SUM(S15:AC15)</f>
        <v>0</v>
      </c>
      <c r="Q15" s="62">
        <f>SUM(Tabela178[[#This Row],[RAL 1023]:[Custom made colour (7% add price)]])</f>
        <v>0</v>
      </c>
      <c r="R15" s="128">
        <f t="shared" si="2"/>
        <v>0</v>
      </c>
      <c r="S15" s="482"/>
      <c r="T15" s="486"/>
      <c r="U15" s="466"/>
      <c r="V15" s="435"/>
      <c r="W15" s="467"/>
      <c r="X15" s="468"/>
      <c r="Y15" s="436"/>
      <c r="Z15" s="470"/>
      <c r="AA15" s="469"/>
      <c r="AB15" s="449"/>
      <c r="AC15" s="83"/>
      <c r="AD15" s="206"/>
      <c r="AE15" s="30"/>
      <c r="AF15" s="30"/>
      <c r="AG15" s="30"/>
      <c r="AH15" s="30"/>
      <c r="AI15" s="30"/>
    </row>
    <row r="16" spans="2:35" ht="12" customHeight="1" thickBot="1" x14ac:dyDescent="0.25">
      <c r="B16" s="29" t="s">
        <v>830</v>
      </c>
      <c r="C16" s="92" t="s">
        <v>956</v>
      </c>
      <c r="D16" s="204" t="s">
        <v>1296</v>
      </c>
      <c r="E16" s="48" t="s">
        <v>875</v>
      </c>
      <c r="F16" s="47">
        <v>1.23</v>
      </c>
      <c r="G16" s="47" cm="1">
        <f t="array" ref="G16">SUM(Tabela178[[#This Row],[RAL 1023]:[Custom made colour (7% add price)]]*Tabela178[[#This Row],[PCS BY PACKS]])</f>
        <v>0</v>
      </c>
      <c r="H16" s="47">
        <v>1</v>
      </c>
      <c r="I16" s="224">
        <v>57</v>
      </c>
      <c r="J16" s="224">
        <f>ROUNDUP(Tabela178[[#This Row],[PRICE]]*(1+PRICES!$C$5),0)</f>
        <v>69</v>
      </c>
      <c r="K16" s="158">
        <v>0.15</v>
      </c>
      <c r="L16" s="49">
        <f>Tabela178[[#This Row],[PRICE]]*Tabela178[[#This Row],[DISCOUNT per piece '[%']]]</f>
        <v>8.5499999999999989</v>
      </c>
      <c r="M16" s="49">
        <f>Tabela178[[#This Row],[PRICE]]*(1-Tabela178[[#This Row],[DISCOUNT per piece '[%']]])</f>
        <v>48.449999999999996</v>
      </c>
      <c r="N16" s="178">
        <f>Tabela178[[#This Row],[PCS]]*Tabela178[[#This Row],[PROMOTIONAL PRICE]]</f>
        <v>0</v>
      </c>
      <c r="O16" s="498" cm="1">
        <f t="array" ref="O16">ROUNDUP(Tabela178[[#This Row],[NEW PRICE]]*eurofxref_daily[],2)</f>
        <v>111.01</v>
      </c>
      <c r="P16" s="506">
        <f>Tabela178[[#This Row],[CAD PRICE]]*SUM(S16:AC16)</f>
        <v>0</v>
      </c>
      <c r="Q16" s="62">
        <f>SUM(Tabela178[[#This Row],[RAL 1023]:[Custom made colour (7% add price)]])</f>
        <v>0</v>
      </c>
      <c r="R16" s="128">
        <f t="shared" si="2"/>
        <v>0</v>
      </c>
      <c r="S16" s="482"/>
      <c r="T16" s="486"/>
      <c r="U16" s="466"/>
      <c r="V16" s="435"/>
      <c r="W16" s="467"/>
      <c r="X16" s="468"/>
      <c r="Y16" s="436"/>
      <c r="Z16" s="470"/>
      <c r="AA16" s="469"/>
      <c r="AB16" s="449"/>
      <c r="AC16" s="83"/>
      <c r="AD16" s="206"/>
      <c r="AE16" s="30"/>
      <c r="AF16" s="30"/>
      <c r="AG16" s="30"/>
      <c r="AH16" s="30"/>
      <c r="AI16" s="30"/>
    </row>
    <row r="17" spans="2:35" ht="12" customHeight="1" thickBot="1" x14ac:dyDescent="0.25">
      <c r="B17" s="29" t="s">
        <v>831</v>
      </c>
      <c r="C17" s="92" t="s">
        <v>957</v>
      </c>
      <c r="D17" s="204" t="s">
        <v>1297</v>
      </c>
      <c r="E17" s="48" t="s">
        <v>876</v>
      </c>
      <c r="F17" s="47">
        <v>1.43</v>
      </c>
      <c r="G17" s="47" cm="1">
        <f t="array" ref="G17">SUM(Tabela178[[#This Row],[RAL 1023]:[Custom made colour (7% add price)]]*Tabela178[[#This Row],[PCS BY PACKS]])</f>
        <v>0</v>
      </c>
      <c r="H17" s="47">
        <v>1</v>
      </c>
      <c r="I17" s="224">
        <v>57</v>
      </c>
      <c r="J17" s="224">
        <f>ROUNDUP(Tabela178[[#This Row],[PRICE]]*(1+PRICES!$C$5),0)</f>
        <v>69</v>
      </c>
      <c r="K17" s="158">
        <v>0.15</v>
      </c>
      <c r="L17" s="49">
        <f>Tabela178[[#This Row],[PRICE]]*Tabela178[[#This Row],[DISCOUNT per piece '[%']]]</f>
        <v>8.5499999999999989</v>
      </c>
      <c r="M17" s="49">
        <f>Tabela178[[#This Row],[PRICE]]*(1-Tabela178[[#This Row],[DISCOUNT per piece '[%']]])</f>
        <v>48.449999999999996</v>
      </c>
      <c r="N17" s="178">
        <f>Tabela178[[#This Row],[PCS]]*Tabela178[[#This Row],[PROMOTIONAL PRICE]]</f>
        <v>0</v>
      </c>
      <c r="O17" s="498" cm="1">
        <f t="array" ref="O17">ROUNDUP(Tabela178[[#This Row],[NEW PRICE]]*eurofxref_daily[],2)</f>
        <v>111.01</v>
      </c>
      <c r="P17" s="506">
        <f>Tabela178[[#This Row],[CAD PRICE]]*SUM(S17:AC17)</f>
        <v>0</v>
      </c>
      <c r="Q17" s="62">
        <f>SUM(Tabela178[[#This Row],[RAL 1023]:[Custom made colour (7% add price)]])</f>
        <v>0</v>
      </c>
      <c r="R17" s="128">
        <f t="shared" si="2"/>
        <v>0</v>
      </c>
      <c r="S17" s="482"/>
      <c r="T17" s="486"/>
      <c r="U17" s="466"/>
      <c r="V17" s="435"/>
      <c r="W17" s="467"/>
      <c r="X17" s="468"/>
      <c r="Y17" s="436"/>
      <c r="Z17" s="470"/>
      <c r="AA17" s="469"/>
      <c r="AB17" s="449"/>
      <c r="AC17" s="83"/>
      <c r="AD17" s="206"/>
      <c r="AE17" s="30"/>
      <c r="AF17" s="30"/>
      <c r="AG17" s="30"/>
      <c r="AH17" s="30"/>
      <c r="AI17" s="30"/>
    </row>
    <row r="18" spans="2:35" ht="12" customHeight="1" thickBot="1" x14ac:dyDescent="0.25">
      <c r="B18" s="29" t="s">
        <v>832</v>
      </c>
      <c r="C18" s="92" t="s">
        <v>958</v>
      </c>
      <c r="D18" s="204" t="s">
        <v>1298</v>
      </c>
      <c r="E18" s="48" t="s">
        <v>877</v>
      </c>
      <c r="F18" s="47">
        <v>2</v>
      </c>
      <c r="G18" s="47" cm="1">
        <f t="array" ref="G18">SUM(Tabela178[[#This Row],[RAL 1023]:[Custom made colour (7% add price)]]*Tabela178[[#This Row],[PCS BY PACKS]])</f>
        <v>0</v>
      </c>
      <c r="H18" s="47">
        <v>1</v>
      </c>
      <c r="I18" s="224">
        <v>67</v>
      </c>
      <c r="J18" s="224">
        <f>ROUNDUP(Tabela178[[#This Row],[PRICE]]*(1+PRICES!$C$5),0)</f>
        <v>81</v>
      </c>
      <c r="K18" s="158">
        <v>0.15</v>
      </c>
      <c r="L18" s="49">
        <f>Tabela178[[#This Row],[PRICE]]*Tabela178[[#This Row],[DISCOUNT per piece '[%']]]</f>
        <v>10.049999999999999</v>
      </c>
      <c r="M18" s="49">
        <f>Tabela178[[#This Row],[PRICE]]*(1-Tabela178[[#This Row],[DISCOUNT per piece '[%']]])</f>
        <v>56.949999999999996</v>
      </c>
      <c r="N18" s="178">
        <f>Tabela178[[#This Row],[PCS]]*Tabela178[[#This Row],[PROMOTIONAL PRICE]]</f>
        <v>0</v>
      </c>
      <c r="O18" s="498" cm="1">
        <f t="array" ref="O18">ROUNDUP(Tabela178[[#This Row],[NEW PRICE]]*eurofxref_daily[],2)</f>
        <v>130.32</v>
      </c>
      <c r="P18" s="506">
        <f>Tabela178[[#This Row],[CAD PRICE]]*SUM(S18:AC18)</f>
        <v>0</v>
      </c>
      <c r="Q18" s="62">
        <f>SUM(Tabela178[[#This Row],[RAL 1023]:[Custom made colour (7% add price)]])</f>
        <v>0</v>
      </c>
      <c r="R18" s="128">
        <f t="shared" si="2"/>
        <v>0</v>
      </c>
      <c r="S18" s="482"/>
      <c r="T18" s="486"/>
      <c r="U18" s="466"/>
      <c r="V18" s="435"/>
      <c r="W18" s="467"/>
      <c r="X18" s="468"/>
      <c r="Y18" s="436"/>
      <c r="Z18" s="470"/>
      <c r="AA18" s="469"/>
      <c r="AB18" s="449"/>
      <c r="AC18" s="83"/>
      <c r="AD18" s="206"/>
      <c r="AE18" s="30"/>
      <c r="AF18" s="30"/>
      <c r="AG18" s="30"/>
      <c r="AH18" s="30"/>
      <c r="AI18" s="30"/>
    </row>
    <row r="19" spans="2:35" ht="12" customHeight="1" thickBot="1" x14ac:dyDescent="0.25">
      <c r="B19" s="29" t="s">
        <v>833</v>
      </c>
      <c r="C19" s="92" t="s">
        <v>959</v>
      </c>
      <c r="D19" s="204" t="s">
        <v>1299</v>
      </c>
      <c r="E19" s="48" t="s">
        <v>878</v>
      </c>
      <c r="F19" s="47">
        <v>2.75</v>
      </c>
      <c r="G19" s="47" cm="1">
        <f t="array" ref="G19">SUM(Tabela178[[#This Row],[RAL 1023]:[Custom made colour (7% add price)]]*Tabela178[[#This Row],[PCS BY PACKS]])</f>
        <v>0</v>
      </c>
      <c r="H19" s="47">
        <v>1</v>
      </c>
      <c r="I19" s="224">
        <v>73</v>
      </c>
      <c r="J19" s="224">
        <f>ROUNDUP(Tabela178[[#This Row],[PRICE]]*(1+PRICES!$C$5),0)</f>
        <v>88</v>
      </c>
      <c r="K19" s="158">
        <v>0.15</v>
      </c>
      <c r="L19" s="49">
        <f>Tabela178[[#This Row],[PRICE]]*Tabela178[[#This Row],[DISCOUNT per piece '[%']]]</f>
        <v>10.95</v>
      </c>
      <c r="M19" s="49">
        <f>Tabela178[[#This Row],[PRICE]]*(1-Tabela178[[#This Row],[DISCOUNT per piece '[%']]])</f>
        <v>62.05</v>
      </c>
      <c r="N19" s="178">
        <f>Tabela178[[#This Row],[PCS]]*Tabela178[[#This Row],[PROMOTIONAL PRICE]]</f>
        <v>0</v>
      </c>
      <c r="O19" s="498" cm="1">
        <f t="array" ref="O19">ROUNDUP(Tabela178[[#This Row],[NEW PRICE]]*eurofxref_daily[],2)</f>
        <v>141.57999999999998</v>
      </c>
      <c r="P19" s="506">
        <f>Tabela178[[#This Row],[CAD PRICE]]*SUM(S19:AC19)</f>
        <v>0</v>
      </c>
      <c r="Q19" s="62">
        <f>SUM(Tabela178[[#This Row],[RAL 1023]:[Custom made colour (7% add price)]])</f>
        <v>0</v>
      </c>
      <c r="R19" s="128">
        <f t="shared" si="2"/>
        <v>0</v>
      </c>
      <c r="S19" s="482"/>
      <c r="T19" s="486"/>
      <c r="U19" s="466"/>
      <c r="V19" s="435"/>
      <c r="W19" s="467"/>
      <c r="X19" s="468"/>
      <c r="Y19" s="436"/>
      <c r="Z19" s="470"/>
      <c r="AA19" s="469"/>
      <c r="AB19" s="449"/>
      <c r="AC19" s="83"/>
      <c r="AD19" s="206"/>
      <c r="AE19" s="30"/>
      <c r="AF19" s="30"/>
      <c r="AG19" s="30"/>
      <c r="AH19" s="30"/>
      <c r="AI19" s="30"/>
    </row>
    <row r="20" spans="2:35" ht="12" customHeight="1" thickBot="1" x14ac:dyDescent="0.25">
      <c r="B20" s="29" t="s">
        <v>834</v>
      </c>
      <c r="C20" s="92" t="s">
        <v>960</v>
      </c>
      <c r="D20" s="204" t="s">
        <v>1300</v>
      </c>
      <c r="E20" s="48" t="s">
        <v>878</v>
      </c>
      <c r="F20" s="47">
        <v>1.7</v>
      </c>
      <c r="G20" s="47" cm="1">
        <f t="array" ref="G20">SUM(Tabela178[[#This Row],[RAL 1023]:[Custom made colour (7% add price)]]*Tabela178[[#This Row],[PCS BY PACKS]])</f>
        <v>0</v>
      </c>
      <c r="H20" s="47">
        <v>1</v>
      </c>
      <c r="I20" s="224">
        <v>73</v>
      </c>
      <c r="J20" s="224">
        <f>ROUNDUP(Tabela178[[#This Row],[PRICE]]*(1+PRICES!$C$5),0)</f>
        <v>88</v>
      </c>
      <c r="K20" s="158">
        <v>0.15</v>
      </c>
      <c r="L20" s="49">
        <f>Tabela178[[#This Row],[PRICE]]*Tabela178[[#This Row],[DISCOUNT per piece '[%']]]</f>
        <v>10.95</v>
      </c>
      <c r="M20" s="49">
        <f>Tabela178[[#This Row],[PRICE]]*(1-Tabela178[[#This Row],[DISCOUNT per piece '[%']]])</f>
        <v>62.05</v>
      </c>
      <c r="N20" s="178">
        <f>Tabela178[[#This Row],[PCS]]*Tabela178[[#This Row],[PROMOTIONAL PRICE]]</f>
        <v>0</v>
      </c>
      <c r="O20" s="498" cm="1">
        <f t="array" ref="O20">ROUNDUP(Tabela178[[#This Row],[NEW PRICE]]*eurofxref_daily[],2)</f>
        <v>141.57999999999998</v>
      </c>
      <c r="P20" s="506">
        <f>Tabela178[[#This Row],[CAD PRICE]]*SUM(S20:AC20)</f>
        <v>0</v>
      </c>
      <c r="Q20" s="62">
        <f>SUM(Tabela178[[#This Row],[RAL 1023]:[Custom made colour (7% add price)]])</f>
        <v>0</v>
      </c>
      <c r="R20" s="128">
        <f t="shared" si="2"/>
        <v>0</v>
      </c>
      <c r="S20" s="482"/>
      <c r="T20" s="486"/>
      <c r="U20" s="466"/>
      <c r="V20" s="435"/>
      <c r="W20" s="467"/>
      <c r="X20" s="468"/>
      <c r="Y20" s="436"/>
      <c r="Z20" s="470"/>
      <c r="AA20" s="469"/>
      <c r="AB20" s="449"/>
      <c r="AC20" s="83"/>
      <c r="AD20" s="206"/>
      <c r="AE20" s="30"/>
      <c r="AF20" s="30"/>
      <c r="AG20" s="30"/>
      <c r="AH20" s="30"/>
      <c r="AI20" s="30"/>
    </row>
    <row r="21" spans="2:35" ht="12" customHeight="1" thickBot="1" x14ac:dyDescent="0.25">
      <c r="B21" s="29" t="s">
        <v>835</v>
      </c>
      <c r="C21" s="92" t="s">
        <v>961</v>
      </c>
      <c r="D21" s="204" t="s">
        <v>1301</v>
      </c>
      <c r="E21" s="48" t="s">
        <v>879</v>
      </c>
      <c r="F21" s="47">
        <v>2.75</v>
      </c>
      <c r="G21" s="47" cm="1">
        <f t="array" ref="G21">SUM(Tabela178[[#This Row],[RAL 1023]:[Custom made colour (7% add price)]]*Tabela178[[#This Row],[PCS BY PACKS]])</f>
        <v>0</v>
      </c>
      <c r="H21" s="47">
        <v>1</v>
      </c>
      <c r="I21" s="224">
        <v>79</v>
      </c>
      <c r="J21" s="224">
        <f>ROUNDUP(Tabela178[[#This Row],[PRICE]]*(1+PRICES!$C$5),0)</f>
        <v>95</v>
      </c>
      <c r="K21" s="158">
        <v>0.15</v>
      </c>
      <c r="L21" s="49">
        <f>Tabela178[[#This Row],[PRICE]]*Tabela178[[#This Row],[DISCOUNT per piece '[%']]]</f>
        <v>11.85</v>
      </c>
      <c r="M21" s="49">
        <f>Tabela178[[#This Row],[PRICE]]*(1-Tabela178[[#This Row],[DISCOUNT per piece '[%']]])</f>
        <v>67.149999999999991</v>
      </c>
      <c r="N21" s="178">
        <f>Tabela178[[#This Row],[PCS]]*Tabela178[[#This Row],[PROMOTIONAL PRICE]]</f>
        <v>0</v>
      </c>
      <c r="O21" s="498" cm="1">
        <f t="array" ref="O21">ROUNDUP(Tabela178[[#This Row],[NEW PRICE]]*eurofxref_daily[],2)</f>
        <v>152.84</v>
      </c>
      <c r="P21" s="506">
        <f>Tabela178[[#This Row],[CAD PRICE]]*SUM(S21:AC21)</f>
        <v>0</v>
      </c>
      <c r="Q21" s="62">
        <f>SUM(Tabela178[[#This Row],[RAL 1023]:[Custom made colour (7% add price)]])</f>
        <v>0</v>
      </c>
      <c r="R21" s="128">
        <f t="shared" si="2"/>
        <v>0</v>
      </c>
      <c r="S21" s="482"/>
      <c r="T21" s="486"/>
      <c r="U21" s="466"/>
      <c r="V21" s="435"/>
      <c r="W21" s="467"/>
      <c r="X21" s="468"/>
      <c r="Y21" s="436"/>
      <c r="Z21" s="470"/>
      <c r="AA21" s="469"/>
      <c r="AB21" s="449"/>
      <c r="AC21" s="83"/>
      <c r="AD21" s="206"/>
      <c r="AE21" s="30"/>
      <c r="AF21" s="30"/>
      <c r="AG21" s="30"/>
      <c r="AH21" s="30"/>
      <c r="AI21" s="30"/>
    </row>
    <row r="22" spans="2:35" ht="12" customHeight="1" thickBot="1" x14ac:dyDescent="0.25">
      <c r="B22" s="29" t="s">
        <v>836</v>
      </c>
      <c r="C22" s="92" t="s">
        <v>962</v>
      </c>
      <c r="D22" s="204" t="s">
        <v>1302</v>
      </c>
      <c r="E22" s="48" t="s">
        <v>879</v>
      </c>
      <c r="F22" s="47">
        <v>1.7</v>
      </c>
      <c r="G22" s="47" cm="1">
        <f t="array" ref="G22">SUM(Tabela178[[#This Row],[RAL 1023]:[Custom made colour (7% add price)]]*Tabela178[[#This Row],[PCS BY PACKS]])</f>
        <v>0</v>
      </c>
      <c r="H22" s="47">
        <v>1</v>
      </c>
      <c r="I22" s="224">
        <v>79</v>
      </c>
      <c r="J22" s="224">
        <f>ROUNDUP(Tabela178[[#This Row],[PRICE]]*(1+PRICES!$C$5),0)</f>
        <v>95</v>
      </c>
      <c r="K22" s="158">
        <v>0.15</v>
      </c>
      <c r="L22" s="49">
        <f>Tabela178[[#This Row],[PRICE]]*Tabela178[[#This Row],[DISCOUNT per piece '[%']]]</f>
        <v>11.85</v>
      </c>
      <c r="M22" s="49">
        <f>Tabela178[[#This Row],[PRICE]]*(1-Tabela178[[#This Row],[DISCOUNT per piece '[%']]])</f>
        <v>67.149999999999991</v>
      </c>
      <c r="N22" s="178">
        <f>Tabela178[[#This Row],[PCS]]*Tabela178[[#This Row],[PROMOTIONAL PRICE]]</f>
        <v>0</v>
      </c>
      <c r="O22" s="498" cm="1">
        <f t="array" ref="O22">ROUNDUP(Tabela178[[#This Row],[NEW PRICE]]*eurofxref_daily[],2)</f>
        <v>152.84</v>
      </c>
      <c r="P22" s="506">
        <f>Tabela178[[#This Row],[CAD PRICE]]*SUM(S22:AC22)</f>
        <v>0</v>
      </c>
      <c r="Q22" s="62">
        <f>SUM(Tabela178[[#This Row],[RAL 1023]:[Custom made colour (7% add price)]])</f>
        <v>0</v>
      </c>
      <c r="R22" s="128">
        <f t="shared" si="2"/>
        <v>0</v>
      </c>
      <c r="S22" s="482"/>
      <c r="T22" s="486"/>
      <c r="U22" s="466"/>
      <c r="V22" s="435"/>
      <c r="W22" s="467"/>
      <c r="X22" s="468"/>
      <c r="Y22" s="436"/>
      <c r="Z22" s="470"/>
      <c r="AA22" s="469"/>
      <c r="AB22" s="449"/>
      <c r="AC22" s="83"/>
      <c r="AD22" s="206"/>
      <c r="AE22" s="30"/>
      <c r="AF22" s="30"/>
      <c r="AG22" s="30"/>
      <c r="AH22" s="30"/>
      <c r="AI22" s="30"/>
    </row>
    <row r="23" spans="2:35" ht="12" customHeight="1" thickBot="1" x14ac:dyDescent="0.25">
      <c r="B23" s="29" t="s">
        <v>837</v>
      </c>
      <c r="C23" s="92" t="s">
        <v>963</v>
      </c>
      <c r="D23" s="204" t="s">
        <v>1303</v>
      </c>
      <c r="E23" s="48" t="s">
        <v>880</v>
      </c>
      <c r="F23" s="47">
        <v>2.21</v>
      </c>
      <c r="G23" s="47" cm="1">
        <f t="array" ref="G23">SUM(Tabela178[[#This Row],[RAL 1023]:[Custom made colour (7% add price)]]*Tabela178[[#This Row],[PCS BY PACKS]])</f>
        <v>0</v>
      </c>
      <c r="H23" s="47">
        <v>1</v>
      </c>
      <c r="I23" s="224">
        <v>79</v>
      </c>
      <c r="J23" s="224">
        <f>ROUNDUP(Tabela178[[#This Row],[PRICE]]*(1+PRICES!$C$5),0)</f>
        <v>95</v>
      </c>
      <c r="K23" s="158">
        <v>0.15</v>
      </c>
      <c r="L23" s="49">
        <f>Tabela178[[#This Row],[PRICE]]*Tabela178[[#This Row],[DISCOUNT per piece '[%']]]</f>
        <v>11.85</v>
      </c>
      <c r="M23" s="49">
        <f>Tabela178[[#This Row],[PRICE]]*(1-Tabela178[[#This Row],[DISCOUNT per piece '[%']]])</f>
        <v>67.149999999999991</v>
      </c>
      <c r="N23" s="178">
        <f>Tabela178[[#This Row],[PCS]]*Tabela178[[#This Row],[PROMOTIONAL PRICE]]</f>
        <v>0</v>
      </c>
      <c r="O23" s="498" cm="1">
        <f t="array" ref="O23">ROUNDUP(Tabela178[[#This Row],[NEW PRICE]]*eurofxref_daily[],2)</f>
        <v>152.84</v>
      </c>
      <c r="P23" s="506">
        <f>Tabela178[[#This Row],[CAD PRICE]]*SUM(S23:AC23)</f>
        <v>0</v>
      </c>
      <c r="Q23" s="62">
        <f>SUM(Tabela178[[#This Row],[RAL 1023]:[Custom made colour (7% add price)]])</f>
        <v>0</v>
      </c>
      <c r="R23" s="128">
        <f t="shared" si="2"/>
        <v>0</v>
      </c>
      <c r="S23" s="482"/>
      <c r="T23" s="486"/>
      <c r="U23" s="466"/>
      <c r="V23" s="435"/>
      <c r="W23" s="467"/>
      <c r="X23" s="468"/>
      <c r="Y23" s="436"/>
      <c r="Z23" s="470"/>
      <c r="AA23" s="469"/>
      <c r="AB23" s="449"/>
      <c r="AC23" s="83"/>
      <c r="AD23" s="206"/>
      <c r="AE23" s="30"/>
      <c r="AF23" s="30"/>
      <c r="AG23" s="30"/>
      <c r="AH23" s="30"/>
      <c r="AI23" s="30"/>
    </row>
    <row r="24" spans="2:35" ht="12" customHeight="1" thickBot="1" x14ac:dyDescent="0.25">
      <c r="B24" s="29" t="s">
        <v>838</v>
      </c>
      <c r="C24" s="92" t="s">
        <v>964</v>
      </c>
      <c r="D24" s="204" t="s">
        <v>1304</v>
      </c>
      <c r="E24" s="48" t="s">
        <v>880</v>
      </c>
      <c r="F24" s="47">
        <v>3.57</v>
      </c>
      <c r="G24" s="47" cm="1">
        <f t="array" ref="G24">SUM(Tabela178[[#This Row],[RAL 1023]:[Custom made colour (7% add price)]]*Tabela178[[#This Row],[PCS BY PACKS]])</f>
        <v>0</v>
      </c>
      <c r="H24" s="47">
        <v>1</v>
      </c>
      <c r="I24" s="224">
        <v>79</v>
      </c>
      <c r="J24" s="224">
        <f>ROUNDUP(Tabela178[[#This Row],[PRICE]]*(1+PRICES!$C$5),0)</f>
        <v>95</v>
      </c>
      <c r="K24" s="158">
        <v>0.15</v>
      </c>
      <c r="L24" s="49">
        <f>Tabela178[[#This Row],[PRICE]]*Tabela178[[#This Row],[DISCOUNT per piece '[%']]]</f>
        <v>11.85</v>
      </c>
      <c r="M24" s="49">
        <f>Tabela178[[#This Row],[PRICE]]*(1-Tabela178[[#This Row],[DISCOUNT per piece '[%']]])</f>
        <v>67.149999999999991</v>
      </c>
      <c r="N24" s="178">
        <f>Tabela178[[#This Row],[PCS]]*Tabela178[[#This Row],[PROMOTIONAL PRICE]]</f>
        <v>0</v>
      </c>
      <c r="O24" s="498" cm="1">
        <f t="array" ref="O24">ROUNDUP(Tabela178[[#This Row],[NEW PRICE]]*eurofxref_daily[],2)</f>
        <v>152.84</v>
      </c>
      <c r="P24" s="506">
        <f>Tabela178[[#This Row],[CAD PRICE]]*SUM(S24:AC24)</f>
        <v>0</v>
      </c>
      <c r="Q24" s="62">
        <f>SUM(Tabela178[[#This Row],[RAL 1023]:[Custom made colour (7% add price)]])</f>
        <v>0</v>
      </c>
      <c r="R24" s="128">
        <f t="shared" si="2"/>
        <v>0</v>
      </c>
      <c r="S24" s="482"/>
      <c r="T24" s="486"/>
      <c r="U24" s="466"/>
      <c r="V24" s="435"/>
      <c r="W24" s="467"/>
      <c r="X24" s="468"/>
      <c r="Y24" s="436"/>
      <c r="Z24" s="470"/>
      <c r="AA24" s="469"/>
      <c r="AB24" s="449"/>
      <c r="AC24" s="83"/>
      <c r="AD24" s="206"/>
      <c r="AE24" s="30"/>
      <c r="AF24" s="30"/>
      <c r="AG24" s="30"/>
      <c r="AH24" s="30"/>
      <c r="AI24" s="30"/>
    </row>
    <row r="25" spans="2:35" ht="12" customHeight="1" thickBot="1" x14ac:dyDescent="0.25">
      <c r="B25" s="29" t="s">
        <v>839</v>
      </c>
      <c r="C25" s="92" t="s">
        <v>965</v>
      </c>
      <c r="D25" s="204" t="s">
        <v>1305</v>
      </c>
      <c r="E25" s="48" t="s">
        <v>881</v>
      </c>
      <c r="F25" s="47">
        <v>3.57</v>
      </c>
      <c r="G25" s="47" cm="1">
        <f t="array" ref="G25">SUM(Tabela178[[#This Row],[RAL 1023]:[Custom made colour (7% add price)]]*Tabela178[[#This Row],[PCS BY PACKS]])</f>
        <v>0</v>
      </c>
      <c r="H25" s="47">
        <v>1</v>
      </c>
      <c r="I25" s="224">
        <v>106</v>
      </c>
      <c r="J25" s="224">
        <f>ROUNDUP(Tabela178[[#This Row],[PRICE]]*(1+PRICES!$C$5),0)</f>
        <v>128</v>
      </c>
      <c r="K25" s="158">
        <v>0.15</v>
      </c>
      <c r="L25" s="49">
        <f>Tabela178[[#This Row],[PRICE]]*Tabela178[[#This Row],[DISCOUNT per piece '[%']]]</f>
        <v>15.899999999999999</v>
      </c>
      <c r="M25" s="49">
        <f>Tabela178[[#This Row],[PRICE]]*(1-Tabela178[[#This Row],[DISCOUNT per piece '[%']]])</f>
        <v>90.1</v>
      </c>
      <c r="N25" s="178">
        <f>Tabela178[[#This Row],[PCS]]*Tabela178[[#This Row],[PROMOTIONAL PRICE]]</f>
        <v>0</v>
      </c>
      <c r="O25" s="498" cm="1">
        <f t="array" ref="O25">ROUNDUP(Tabela178[[#This Row],[NEW PRICE]]*eurofxref_daily[],2)</f>
        <v>205.92999999999998</v>
      </c>
      <c r="P25" s="506">
        <f>Tabela178[[#This Row],[CAD PRICE]]*SUM(S25:AC25)</f>
        <v>0</v>
      </c>
      <c r="Q25" s="62">
        <f>SUM(Tabela178[[#This Row],[RAL 1023]:[Custom made colour (7% add price)]])</f>
        <v>0</v>
      </c>
      <c r="R25" s="128">
        <f t="shared" si="2"/>
        <v>0</v>
      </c>
      <c r="S25" s="482"/>
      <c r="T25" s="486"/>
      <c r="U25" s="466"/>
      <c r="V25" s="435"/>
      <c r="W25" s="467"/>
      <c r="X25" s="468"/>
      <c r="Y25" s="436"/>
      <c r="Z25" s="470"/>
      <c r="AA25" s="469"/>
      <c r="AB25" s="449"/>
      <c r="AC25" s="83"/>
      <c r="AD25" s="206"/>
      <c r="AE25" s="30"/>
      <c r="AF25" s="30"/>
      <c r="AG25" s="30"/>
      <c r="AH25" s="30"/>
      <c r="AI25" s="30"/>
    </row>
    <row r="26" spans="2:35" ht="12" customHeight="1" thickBot="1" x14ac:dyDescent="0.25">
      <c r="B26" s="29" t="s">
        <v>840</v>
      </c>
      <c r="C26" s="92" t="s">
        <v>966</v>
      </c>
      <c r="D26" s="204" t="s">
        <v>1306</v>
      </c>
      <c r="E26" s="48" t="s">
        <v>881</v>
      </c>
      <c r="F26" s="47">
        <v>2.21</v>
      </c>
      <c r="G26" s="47" cm="1">
        <f t="array" ref="G26">SUM(Tabela178[[#This Row],[RAL 1023]:[Custom made colour (7% add price)]]*Tabela178[[#This Row],[PCS BY PACKS]])</f>
        <v>0</v>
      </c>
      <c r="H26" s="47">
        <v>1</v>
      </c>
      <c r="I26" s="224">
        <v>106</v>
      </c>
      <c r="J26" s="224">
        <f>ROUNDUP(Tabela178[[#This Row],[PRICE]]*(1+PRICES!$C$5),0)</f>
        <v>128</v>
      </c>
      <c r="K26" s="158">
        <v>0.15</v>
      </c>
      <c r="L26" s="49">
        <f>Tabela178[[#This Row],[PRICE]]*Tabela178[[#This Row],[DISCOUNT per piece '[%']]]</f>
        <v>15.899999999999999</v>
      </c>
      <c r="M26" s="49">
        <f>Tabela178[[#This Row],[PRICE]]*(1-Tabela178[[#This Row],[DISCOUNT per piece '[%']]])</f>
        <v>90.1</v>
      </c>
      <c r="N26" s="178">
        <f>Tabela178[[#This Row],[PCS]]*Tabela178[[#This Row],[PROMOTIONAL PRICE]]</f>
        <v>0</v>
      </c>
      <c r="O26" s="498" cm="1">
        <f t="array" ref="O26">ROUNDUP(Tabela178[[#This Row],[NEW PRICE]]*eurofxref_daily[],2)</f>
        <v>205.92999999999998</v>
      </c>
      <c r="P26" s="506">
        <f>Tabela178[[#This Row],[CAD PRICE]]*SUM(S26:AC26)</f>
        <v>0</v>
      </c>
      <c r="Q26" s="62">
        <f>SUM(Tabela178[[#This Row],[RAL 1023]:[Custom made colour (7% add price)]])</f>
        <v>0</v>
      </c>
      <c r="R26" s="128">
        <f t="shared" si="2"/>
        <v>0</v>
      </c>
      <c r="S26" s="482"/>
      <c r="T26" s="486"/>
      <c r="U26" s="466"/>
      <c r="V26" s="435"/>
      <c r="W26" s="467"/>
      <c r="X26" s="468"/>
      <c r="Y26" s="436"/>
      <c r="Z26" s="470"/>
      <c r="AA26" s="469"/>
      <c r="AB26" s="449"/>
      <c r="AC26" s="83"/>
      <c r="AD26" s="206"/>
      <c r="AE26" s="30"/>
      <c r="AF26" s="30"/>
      <c r="AG26" s="30"/>
      <c r="AH26" s="30"/>
      <c r="AI26" s="30"/>
    </row>
    <row r="27" spans="2:35" ht="12" customHeight="1" thickBot="1" x14ac:dyDescent="0.25">
      <c r="B27" s="29" t="s">
        <v>841</v>
      </c>
      <c r="C27" s="92" t="s">
        <v>967</v>
      </c>
      <c r="D27" s="204" t="s">
        <v>1307</v>
      </c>
      <c r="E27" s="48" t="s">
        <v>882</v>
      </c>
      <c r="F27" s="47">
        <v>1.77</v>
      </c>
      <c r="G27" s="47" cm="1">
        <f t="array" ref="G27">SUM(Tabela178[[#This Row],[RAL 1023]:[Custom made colour (7% add price)]]*Tabela178[[#This Row],[PCS BY PACKS]])</f>
        <v>0</v>
      </c>
      <c r="H27" s="47">
        <v>1</v>
      </c>
      <c r="I27" s="224">
        <v>69</v>
      </c>
      <c r="J27" s="224">
        <f>ROUNDUP(Tabela178[[#This Row],[PRICE]]*(1+PRICES!$C$5),0)</f>
        <v>83</v>
      </c>
      <c r="K27" s="158">
        <v>0.15</v>
      </c>
      <c r="L27" s="49">
        <f>Tabela178[[#This Row],[PRICE]]*Tabela178[[#This Row],[DISCOUNT per piece '[%']]]</f>
        <v>10.35</v>
      </c>
      <c r="M27" s="49">
        <f>Tabela178[[#This Row],[PRICE]]*(1-Tabela178[[#This Row],[DISCOUNT per piece '[%']]])</f>
        <v>58.65</v>
      </c>
      <c r="N27" s="178">
        <f>Tabela178[[#This Row],[PCS]]*Tabela178[[#This Row],[PROMOTIONAL PRICE]]</f>
        <v>0</v>
      </c>
      <c r="O27" s="498" cm="1">
        <f t="array" ref="O27">ROUNDUP(Tabela178[[#This Row],[NEW PRICE]]*eurofxref_daily[],2)</f>
        <v>133.54</v>
      </c>
      <c r="P27" s="506">
        <f>Tabela178[[#This Row],[CAD PRICE]]*SUM(S27:AC27)</f>
        <v>0</v>
      </c>
      <c r="Q27" s="62">
        <f>SUM(Tabela178[[#This Row],[RAL 1023]:[Custom made colour (7% add price)]])</f>
        <v>0</v>
      </c>
      <c r="R27" s="128">
        <f t="shared" si="2"/>
        <v>0</v>
      </c>
      <c r="S27" s="482"/>
      <c r="T27" s="486"/>
      <c r="U27" s="466"/>
      <c r="V27" s="435"/>
      <c r="W27" s="467"/>
      <c r="X27" s="468"/>
      <c r="Y27" s="436"/>
      <c r="Z27" s="470"/>
      <c r="AA27" s="469"/>
      <c r="AB27" s="449"/>
      <c r="AC27" s="83"/>
      <c r="AD27" s="206"/>
      <c r="AE27" s="30"/>
      <c r="AF27" s="30"/>
      <c r="AG27" s="30"/>
      <c r="AH27" s="30"/>
      <c r="AI27" s="30"/>
    </row>
    <row r="28" spans="2:35" ht="12" customHeight="1" thickBot="1" x14ac:dyDescent="0.25">
      <c r="B28" s="29" t="s">
        <v>842</v>
      </c>
      <c r="C28" s="92" t="s">
        <v>968</v>
      </c>
      <c r="D28" s="204" t="s">
        <v>1308</v>
      </c>
      <c r="E28" s="48" t="s">
        <v>882</v>
      </c>
      <c r="F28" s="47">
        <v>2.88</v>
      </c>
      <c r="G28" s="47" cm="1">
        <f t="array" ref="G28">SUM(Tabela178[[#This Row],[RAL 1023]:[Custom made colour (7% add price)]]*Tabela178[[#This Row],[PCS BY PACKS]])</f>
        <v>0</v>
      </c>
      <c r="H28" s="47">
        <v>1</v>
      </c>
      <c r="I28" s="224">
        <v>69</v>
      </c>
      <c r="J28" s="224">
        <f>ROUNDUP(Tabela178[[#This Row],[PRICE]]*(1+PRICES!$C$5),0)</f>
        <v>83</v>
      </c>
      <c r="K28" s="158">
        <v>0.15</v>
      </c>
      <c r="L28" s="49">
        <f>Tabela178[[#This Row],[PRICE]]*Tabela178[[#This Row],[DISCOUNT per piece '[%']]]</f>
        <v>10.35</v>
      </c>
      <c r="M28" s="49">
        <f>Tabela178[[#This Row],[PRICE]]*(1-Tabela178[[#This Row],[DISCOUNT per piece '[%']]])</f>
        <v>58.65</v>
      </c>
      <c r="N28" s="178">
        <f>Tabela178[[#This Row],[PCS]]*Tabela178[[#This Row],[PROMOTIONAL PRICE]]</f>
        <v>0</v>
      </c>
      <c r="O28" s="498" cm="1">
        <f t="array" ref="O28">ROUNDUP(Tabela178[[#This Row],[NEW PRICE]]*eurofxref_daily[],2)</f>
        <v>133.54</v>
      </c>
      <c r="P28" s="506">
        <f>Tabela178[[#This Row],[CAD PRICE]]*SUM(S28:AC28)</f>
        <v>0</v>
      </c>
      <c r="Q28" s="62">
        <f>SUM(Tabela178[[#This Row],[RAL 1023]:[Custom made colour (7% add price)]])</f>
        <v>0</v>
      </c>
      <c r="R28" s="128">
        <f t="shared" si="2"/>
        <v>0</v>
      </c>
      <c r="S28" s="482"/>
      <c r="T28" s="486"/>
      <c r="U28" s="466"/>
      <c r="V28" s="435"/>
      <c r="W28" s="467"/>
      <c r="X28" s="468"/>
      <c r="Y28" s="436"/>
      <c r="Z28" s="470"/>
      <c r="AA28" s="469"/>
      <c r="AB28" s="449"/>
      <c r="AC28" s="83"/>
      <c r="AD28" s="206"/>
      <c r="AE28" s="30"/>
      <c r="AF28" s="30"/>
      <c r="AG28" s="30"/>
      <c r="AH28" s="30"/>
      <c r="AI28" s="30"/>
    </row>
    <row r="29" spans="2:35" ht="12" customHeight="1" thickBot="1" x14ac:dyDescent="0.25">
      <c r="B29" s="29" t="s">
        <v>843</v>
      </c>
      <c r="C29" s="92" t="s">
        <v>969</v>
      </c>
      <c r="D29" s="204" t="s">
        <v>1309</v>
      </c>
      <c r="E29" s="48" t="s">
        <v>883</v>
      </c>
      <c r="F29" s="47">
        <v>1.77</v>
      </c>
      <c r="G29" s="47" cm="1">
        <f t="array" ref="G29">SUM(Tabela178[[#This Row],[RAL 1023]:[Custom made colour (7% add price)]]*Tabela178[[#This Row],[PCS BY PACKS]])</f>
        <v>0</v>
      </c>
      <c r="H29" s="47">
        <v>1</v>
      </c>
      <c r="I29" s="224">
        <v>79</v>
      </c>
      <c r="J29" s="224">
        <f>ROUNDUP(Tabela178[[#This Row],[PRICE]]*(1+PRICES!$C$5),0)</f>
        <v>95</v>
      </c>
      <c r="K29" s="158">
        <v>0.15</v>
      </c>
      <c r="L29" s="49">
        <f>Tabela178[[#This Row],[PRICE]]*Tabela178[[#This Row],[DISCOUNT per piece '[%']]]</f>
        <v>11.85</v>
      </c>
      <c r="M29" s="49">
        <f>Tabela178[[#This Row],[PRICE]]*(1-Tabela178[[#This Row],[DISCOUNT per piece '[%']]])</f>
        <v>67.149999999999991</v>
      </c>
      <c r="N29" s="178">
        <f>Tabela178[[#This Row],[PCS]]*Tabela178[[#This Row],[PROMOTIONAL PRICE]]</f>
        <v>0</v>
      </c>
      <c r="O29" s="498" cm="1">
        <f t="array" ref="O29">ROUNDUP(Tabela178[[#This Row],[NEW PRICE]]*eurofxref_daily[],2)</f>
        <v>152.84</v>
      </c>
      <c r="P29" s="506">
        <f>Tabela178[[#This Row],[CAD PRICE]]*SUM(S29:AC29)</f>
        <v>0</v>
      </c>
      <c r="Q29" s="62">
        <f>SUM(Tabela178[[#This Row],[RAL 1023]:[Custom made colour (7% add price)]])</f>
        <v>0</v>
      </c>
      <c r="R29" s="128">
        <f t="shared" si="2"/>
        <v>0</v>
      </c>
      <c r="S29" s="482"/>
      <c r="T29" s="486"/>
      <c r="U29" s="466"/>
      <c r="V29" s="435"/>
      <c r="W29" s="467"/>
      <c r="X29" s="468"/>
      <c r="Y29" s="436"/>
      <c r="Z29" s="470"/>
      <c r="AA29" s="469"/>
      <c r="AB29" s="449"/>
      <c r="AC29" s="83"/>
      <c r="AD29" s="206"/>
      <c r="AE29" s="30"/>
      <c r="AF29" s="30"/>
      <c r="AG29" s="30"/>
      <c r="AH29" s="30"/>
      <c r="AI29" s="30"/>
    </row>
    <row r="30" spans="2:35" ht="12" customHeight="1" thickBot="1" x14ac:dyDescent="0.25">
      <c r="B30" s="29" t="s">
        <v>844</v>
      </c>
      <c r="C30" s="92" t="s">
        <v>970</v>
      </c>
      <c r="D30" s="204" t="s">
        <v>1310</v>
      </c>
      <c r="E30" s="48" t="s">
        <v>883</v>
      </c>
      <c r="F30" s="47">
        <v>2.88</v>
      </c>
      <c r="G30" s="47" cm="1">
        <f t="array" ref="G30">SUM(Tabela178[[#This Row],[RAL 1023]:[Custom made colour (7% add price)]]*Tabela178[[#This Row],[PCS BY PACKS]])</f>
        <v>0</v>
      </c>
      <c r="H30" s="47">
        <v>1</v>
      </c>
      <c r="I30" s="224">
        <v>79</v>
      </c>
      <c r="J30" s="224">
        <f>ROUNDUP(Tabela178[[#This Row],[PRICE]]*(1+PRICES!$C$5),0)</f>
        <v>95</v>
      </c>
      <c r="K30" s="158">
        <v>0.15</v>
      </c>
      <c r="L30" s="49">
        <f>Tabela178[[#This Row],[PRICE]]*Tabela178[[#This Row],[DISCOUNT per piece '[%']]]</f>
        <v>11.85</v>
      </c>
      <c r="M30" s="49">
        <f>Tabela178[[#This Row],[PRICE]]*(1-Tabela178[[#This Row],[DISCOUNT per piece '[%']]])</f>
        <v>67.149999999999991</v>
      </c>
      <c r="N30" s="178">
        <f>Tabela178[[#This Row],[PCS]]*Tabela178[[#This Row],[PROMOTIONAL PRICE]]</f>
        <v>0</v>
      </c>
      <c r="O30" s="498" cm="1">
        <f t="array" ref="O30">ROUNDUP(Tabela178[[#This Row],[NEW PRICE]]*eurofxref_daily[],2)</f>
        <v>152.84</v>
      </c>
      <c r="P30" s="506">
        <f>Tabela178[[#This Row],[CAD PRICE]]*SUM(S30:AC30)</f>
        <v>0</v>
      </c>
      <c r="Q30" s="62">
        <f>SUM(Tabela178[[#This Row],[RAL 1023]:[Custom made colour (7% add price)]])</f>
        <v>0</v>
      </c>
      <c r="R30" s="128">
        <f t="shared" si="2"/>
        <v>0</v>
      </c>
      <c r="S30" s="482"/>
      <c r="T30" s="486"/>
      <c r="U30" s="466"/>
      <c r="V30" s="435"/>
      <c r="W30" s="467"/>
      <c r="X30" s="468"/>
      <c r="Y30" s="436"/>
      <c r="Z30" s="470"/>
      <c r="AA30" s="469"/>
      <c r="AB30" s="449"/>
      <c r="AC30" s="83"/>
      <c r="AD30" s="206"/>
      <c r="AE30" s="30"/>
      <c r="AF30" s="30"/>
      <c r="AG30" s="30"/>
      <c r="AH30" s="30"/>
      <c r="AI30" s="30"/>
    </row>
    <row r="31" spans="2:35" ht="12" customHeight="1" thickBot="1" x14ac:dyDescent="0.25">
      <c r="B31" s="29" t="s">
        <v>845</v>
      </c>
      <c r="C31" s="92" t="s">
        <v>971</v>
      </c>
      <c r="D31" s="204" t="s">
        <v>1311</v>
      </c>
      <c r="E31" s="48" t="s">
        <v>884</v>
      </c>
      <c r="F31" s="47">
        <v>4.34</v>
      </c>
      <c r="G31" s="47" cm="1">
        <f t="array" ref="G31">SUM(Tabela178[[#This Row],[RAL 1023]:[Custom made colour (7% add price)]]*Tabela178[[#This Row],[PCS BY PACKS]])</f>
        <v>0</v>
      </c>
      <c r="H31" s="47">
        <v>1</v>
      </c>
      <c r="I31" s="224">
        <v>122</v>
      </c>
      <c r="J31" s="224">
        <f>ROUNDUP(Tabela178[[#This Row],[PRICE]]*(1+PRICES!$C$5),0)</f>
        <v>147</v>
      </c>
      <c r="K31" s="158">
        <v>0.15</v>
      </c>
      <c r="L31" s="49">
        <f>Tabela178[[#This Row],[PRICE]]*Tabela178[[#This Row],[DISCOUNT per piece '[%']]]</f>
        <v>18.3</v>
      </c>
      <c r="M31" s="49">
        <f>Tabela178[[#This Row],[PRICE]]*(1-Tabela178[[#This Row],[DISCOUNT per piece '[%']]])</f>
        <v>103.7</v>
      </c>
      <c r="N31" s="178">
        <f>Tabela178[[#This Row],[PCS]]*Tabela178[[#This Row],[PROMOTIONAL PRICE]]</f>
        <v>0</v>
      </c>
      <c r="O31" s="498" cm="1">
        <f t="array" ref="O31">ROUNDUP(Tabela178[[#This Row],[NEW PRICE]]*eurofxref_daily[],2)</f>
        <v>236.5</v>
      </c>
      <c r="P31" s="506">
        <f>Tabela178[[#This Row],[CAD PRICE]]*SUM(S31:AC31)</f>
        <v>0</v>
      </c>
      <c r="Q31" s="62">
        <f>SUM(Tabela178[[#This Row],[RAL 1023]:[Custom made colour (7% add price)]])</f>
        <v>0</v>
      </c>
      <c r="R31" s="128">
        <f t="shared" si="2"/>
        <v>0</v>
      </c>
      <c r="S31" s="482"/>
      <c r="T31" s="486"/>
      <c r="U31" s="466"/>
      <c r="V31" s="435"/>
      <c r="W31" s="467"/>
      <c r="X31" s="468"/>
      <c r="Y31" s="436"/>
      <c r="Z31" s="470"/>
      <c r="AA31" s="469"/>
      <c r="AB31" s="449"/>
      <c r="AC31" s="83"/>
      <c r="AD31" s="206"/>
      <c r="AE31" s="30"/>
      <c r="AF31" s="30"/>
      <c r="AG31" s="30"/>
      <c r="AH31" s="30"/>
      <c r="AI31" s="30"/>
    </row>
    <row r="32" spans="2:35" ht="12" customHeight="1" thickBot="1" x14ac:dyDescent="0.25">
      <c r="B32" s="29" t="s">
        <v>846</v>
      </c>
      <c r="C32" s="92" t="s">
        <v>972</v>
      </c>
      <c r="D32" s="204" t="s">
        <v>1312</v>
      </c>
      <c r="E32" s="48" t="s">
        <v>885</v>
      </c>
      <c r="F32" s="47">
        <v>4.8499999999999996</v>
      </c>
      <c r="G32" s="47" cm="1">
        <f t="array" ref="G32">SUM(Tabela178[[#This Row],[RAL 1023]:[Custom made colour (7% add price)]]*Tabela178[[#This Row],[PCS BY PACKS]])</f>
        <v>0</v>
      </c>
      <c r="H32" s="47">
        <v>1</v>
      </c>
      <c r="I32" s="224">
        <v>138</v>
      </c>
      <c r="J32" s="224">
        <f>ROUNDUP(Tabela178[[#This Row],[PRICE]]*(1+PRICES!$C$5),0)</f>
        <v>166</v>
      </c>
      <c r="K32" s="158">
        <v>0.15</v>
      </c>
      <c r="L32" s="49">
        <f>Tabela178[[#This Row],[PRICE]]*Tabela178[[#This Row],[DISCOUNT per piece '[%']]]</f>
        <v>20.7</v>
      </c>
      <c r="M32" s="49">
        <f>Tabela178[[#This Row],[PRICE]]*(1-Tabela178[[#This Row],[DISCOUNT per piece '[%']]])</f>
        <v>117.3</v>
      </c>
      <c r="N32" s="178">
        <f>Tabela178[[#This Row],[PCS]]*Tabela178[[#This Row],[PROMOTIONAL PRICE]]</f>
        <v>0</v>
      </c>
      <c r="O32" s="498" cm="1">
        <f t="array" ref="O32">ROUNDUP(Tabela178[[#This Row],[NEW PRICE]]*eurofxref_daily[],2)</f>
        <v>267.07</v>
      </c>
      <c r="P32" s="506">
        <f>Tabela178[[#This Row],[CAD PRICE]]*SUM(S32:AC32)</f>
        <v>0</v>
      </c>
      <c r="Q32" s="62">
        <f>SUM(Tabela178[[#This Row],[RAL 1023]:[Custom made colour (7% add price)]])</f>
        <v>0</v>
      </c>
      <c r="R32" s="128">
        <f t="shared" si="2"/>
        <v>0</v>
      </c>
      <c r="S32" s="482"/>
      <c r="T32" s="486"/>
      <c r="U32" s="466"/>
      <c r="V32" s="435"/>
      <c r="W32" s="467"/>
      <c r="X32" s="468"/>
      <c r="Y32" s="436"/>
      <c r="Z32" s="470"/>
      <c r="AA32" s="469"/>
      <c r="AB32" s="449"/>
      <c r="AC32" s="83"/>
      <c r="AD32" s="206"/>
      <c r="AE32" s="30"/>
      <c r="AF32" s="30"/>
      <c r="AG32" s="30"/>
      <c r="AH32" s="30"/>
      <c r="AI32" s="30"/>
    </row>
    <row r="33" spans="2:35" ht="12" customHeight="1" thickBot="1" x14ac:dyDescent="0.25">
      <c r="B33" s="29" t="s">
        <v>847</v>
      </c>
      <c r="C33" s="92" t="s">
        <v>973</v>
      </c>
      <c r="D33" s="204" t="s">
        <v>1313</v>
      </c>
      <c r="E33" s="48" t="s">
        <v>886</v>
      </c>
      <c r="F33" s="47">
        <v>5.4</v>
      </c>
      <c r="G33" s="47" cm="1">
        <f t="array" ref="G33">SUM(Tabela178[[#This Row],[RAL 1023]:[Custom made colour (7% add price)]]*Tabela178[[#This Row],[PCS BY PACKS]])</f>
        <v>0</v>
      </c>
      <c r="H33" s="47">
        <v>1</v>
      </c>
      <c r="I33" s="224">
        <v>154</v>
      </c>
      <c r="J33" s="224">
        <f>ROUNDUP(Tabela178[[#This Row],[PRICE]]*(1+PRICES!$C$5),0)</f>
        <v>185</v>
      </c>
      <c r="K33" s="158">
        <v>0.15</v>
      </c>
      <c r="L33" s="49">
        <f>Tabela178[[#This Row],[PRICE]]*Tabela178[[#This Row],[DISCOUNT per piece '[%']]]</f>
        <v>23.099999999999998</v>
      </c>
      <c r="M33" s="49">
        <f>Tabela178[[#This Row],[PRICE]]*(1-Tabela178[[#This Row],[DISCOUNT per piece '[%']]])</f>
        <v>130.9</v>
      </c>
      <c r="N33" s="178">
        <f>Tabela178[[#This Row],[PCS]]*Tabela178[[#This Row],[PROMOTIONAL PRICE]]</f>
        <v>0</v>
      </c>
      <c r="O33" s="498" cm="1">
        <f t="array" ref="O33">ROUNDUP(Tabela178[[#This Row],[NEW PRICE]]*eurofxref_daily[],2)</f>
        <v>297.63</v>
      </c>
      <c r="P33" s="506">
        <f>Tabela178[[#This Row],[CAD PRICE]]*SUM(S33:AC33)</f>
        <v>0</v>
      </c>
      <c r="Q33" s="62">
        <f>SUM(Tabela178[[#This Row],[RAL 1023]:[Custom made colour (7% add price)]])</f>
        <v>0</v>
      </c>
      <c r="R33" s="128">
        <f t="shared" si="2"/>
        <v>0</v>
      </c>
      <c r="S33" s="482"/>
      <c r="T33" s="486"/>
      <c r="U33" s="466"/>
      <c r="V33" s="435"/>
      <c r="W33" s="467"/>
      <c r="X33" s="468"/>
      <c r="Y33" s="436"/>
      <c r="Z33" s="470"/>
      <c r="AA33" s="469"/>
      <c r="AB33" s="449"/>
      <c r="AC33" s="83"/>
      <c r="AD33" s="206"/>
      <c r="AE33" s="30"/>
      <c r="AF33" s="30"/>
      <c r="AG33" s="30"/>
      <c r="AH33" s="30"/>
      <c r="AI33" s="30"/>
    </row>
    <row r="34" spans="2:35" ht="12" customHeight="1" thickBot="1" x14ac:dyDescent="0.25">
      <c r="B34" s="29" t="s">
        <v>848</v>
      </c>
      <c r="C34" s="92" t="s">
        <v>974</v>
      </c>
      <c r="D34" s="204" t="s">
        <v>1314</v>
      </c>
      <c r="E34" s="48" t="s">
        <v>887</v>
      </c>
      <c r="F34" s="47">
        <v>2.15</v>
      </c>
      <c r="G34" s="47" cm="1">
        <f t="array" ref="G34">SUM(Tabela178[[#This Row],[RAL 1023]:[Custom made colour (7% add price)]]*Tabela178[[#This Row],[PCS BY PACKS]])</f>
        <v>0</v>
      </c>
      <c r="H34" s="47">
        <v>1</v>
      </c>
      <c r="I34" s="224">
        <v>75</v>
      </c>
      <c r="J34" s="224">
        <f>ROUNDUP(Tabela178[[#This Row],[PRICE]]*(1+PRICES!$C$5),0)</f>
        <v>90</v>
      </c>
      <c r="K34" s="158">
        <v>0.15</v>
      </c>
      <c r="L34" s="49">
        <f>Tabela178[[#This Row],[PRICE]]*Tabela178[[#This Row],[DISCOUNT per piece '[%']]]</f>
        <v>11.25</v>
      </c>
      <c r="M34" s="49">
        <f>Tabela178[[#This Row],[PRICE]]*(1-Tabela178[[#This Row],[DISCOUNT per piece '[%']]])</f>
        <v>63.75</v>
      </c>
      <c r="N34" s="178">
        <f>Tabela178[[#This Row],[PCS]]*Tabela178[[#This Row],[PROMOTIONAL PRICE]]</f>
        <v>0</v>
      </c>
      <c r="O34" s="498" cm="1">
        <f t="array" ref="O34">ROUNDUP(Tabela178[[#This Row],[NEW PRICE]]*eurofxref_daily[],2)</f>
        <v>144.79999999999998</v>
      </c>
      <c r="P34" s="506">
        <f>Tabela178[[#This Row],[CAD PRICE]]*SUM(S34:AC34)</f>
        <v>0</v>
      </c>
      <c r="Q34" s="62">
        <f>SUM(Tabela178[[#This Row],[RAL 1023]:[Custom made colour (7% add price)]])</f>
        <v>0</v>
      </c>
      <c r="R34" s="128">
        <f t="shared" si="2"/>
        <v>0</v>
      </c>
      <c r="S34" s="482"/>
      <c r="T34" s="486"/>
      <c r="U34" s="466"/>
      <c r="V34" s="435"/>
      <c r="W34" s="467"/>
      <c r="X34" s="468"/>
      <c r="Y34" s="436"/>
      <c r="Z34" s="470"/>
      <c r="AA34" s="469"/>
      <c r="AB34" s="449"/>
      <c r="AC34" s="83"/>
      <c r="AD34" s="206"/>
      <c r="AE34" s="30"/>
      <c r="AF34" s="30"/>
      <c r="AG34" s="30"/>
      <c r="AH34" s="30"/>
      <c r="AI34" s="30"/>
    </row>
    <row r="35" spans="2:35" ht="12" customHeight="1" thickBot="1" x14ac:dyDescent="0.25">
      <c r="B35" s="29" t="s">
        <v>849</v>
      </c>
      <c r="C35" s="92" t="s">
        <v>975</v>
      </c>
      <c r="D35" s="204" t="s">
        <v>1315</v>
      </c>
      <c r="E35" s="48" t="s">
        <v>888</v>
      </c>
      <c r="F35" s="47">
        <v>2.48</v>
      </c>
      <c r="G35" s="47" cm="1">
        <f t="array" ref="G35">SUM(Tabela178[[#This Row],[RAL 1023]:[Custom made colour (7% add price)]]*Tabela178[[#This Row],[PCS BY PACKS]])</f>
        <v>0</v>
      </c>
      <c r="H35" s="47">
        <v>1</v>
      </c>
      <c r="I35" s="224">
        <v>85</v>
      </c>
      <c r="J35" s="224">
        <f>ROUNDUP(Tabela178[[#This Row],[PRICE]]*(1+PRICES!$C$5),0)</f>
        <v>102</v>
      </c>
      <c r="K35" s="158">
        <v>0.15</v>
      </c>
      <c r="L35" s="49">
        <f>Tabela178[[#This Row],[PRICE]]*Tabela178[[#This Row],[DISCOUNT per piece '[%']]]</f>
        <v>12.75</v>
      </c>
      <c r="M35" s="49">
        <f>Tabela178[[#This Row],[PRICE]]*(1-Tabela178[[#This Row],[DISCOUNT per piece '[%']]])</f>
        <v>72.25</v>
      </c>
      <c r="N35" s="178">
        <f>Tabela178[[#This Row],[PCS]]*Tabela178[[#This Row],[PROMOTIONAL PRICE]]</f>
        <v>0</v>
      </c>
      <c r="O35" s="498" cm="1">
        <f t="array" ref="O35">ROUNDUP(Tabela178[[#This Row],[NEW PRICE]]*eurofxref_daily[],2)</f>
        <v>164.1</v>
      </c>
      <c r="P35" s="506">
        <f>Tabela178[[#This Row],[CAD PRICE]]*SUM(S35:AC35)</f>
        <v>0</v>
      </c>
      <c r="Q35" s="62">
        <f>SUM(Tabela178[[#This Row],[RAL 1023]:[Custom made colour (7% add price)]])</f>
        <v>0</v>
      </c>
      <c r="R35" s="128">
        <f t="shared" si="2"/>
        <v>0</v>
      </c>
      <c r="S35" s="482"/>
      <c r="T35" s="486"/>
      <c r="U35" s="466"/>
      <c r="V35" s="435"/>
      <c r="W35" s="467"/>
      <c r="X35" s="468"/>
      <c r="Y35" s="436"/>
      <c r="Z35" s="470"/>
      <c r="AA35" s="469"/>
      <c r="AB35" s="449"/>
      <c r="AC35" s="83"/>
      <c r="AD35" s="206"/>
      <c r="AE35" s="30"/>
      <c r="AF35" s="30"/>
      <c r="AG35" s="30"/>
      <c r="AH35" s="30"/>
      <c r="AI35" s="30"/>
    </row>
    <row r="36" spans="2:35" ht="12" customHeight="1" thickBot="1" x14ac:dyDescent="0.25">
      <c r="B36" s="29" t="s">
        <v>850</v>
      </c>
      <c r="C36" s="92" t="s">
        <v>976</v>
      </c>
      <c r="D36" s="204" t="s">
        <v>1316</v>
      </c>
      <c r="E36" s="48" t="s">
        <v>889</v>
      </c>
      <c r="F36" s="47">
        <v>2.94</v>
      </c>
      <c r="G36" s="47" cm="1">
        <f t="array" ref="G36">SUM(Tabela178[[#This Row],[RAL 1023]:[Custom made colour (7% add price)]]*Tabela178[[#This Row],[PCS BY PACKS]])</f>
        <v>0</v>
      </c>
      <c r="H36" s="47">
        <v>1</v>
      </c>
      <c r="I36" s="224">
        <v>101</v>
      </c>
      <c r="J36" s="224">
        <f>ROUNDUP(Tabela178[[#This Row],[PRICE]]*(1+PRICES!$C$5),0)</f>
        <v>122</v>
      </c>
      <c r="K36" s="158">
        <v>0.15</v>
      </c>
      <c r="L36" s="49">
        <f>Tabela178[[#This Row],[PRICE]]*Tabela178[[#This Row],[DISCOUNT per piece '[%']]]</f>
        <v>15.149999999999999</v>
      </c>
      <c r="M36" s="49">
        <f>Tabela178[[#This Row],[PRICE]]*(1-Tabela178[[#This Row],[DISCOUNT per piece '[%']]])</f>
        <v>85.85</v>
      </c>
      <c r="N36" s="178">
        <f>Tabela178[[#This Row],[PCS]]*Tabela178[[#This Row],[PROMOTIONAL PRICE]]</f>
        <v>0</v>
      </c>
      <c r="O36" s="498" cm="1">
        <f t="array" ref="O36">ROUNDUP(Tabela178[[#This Row],[NEW PRICE]]*eurofxref_daily[],2)</f>
        <v>196.28</v>
      </c>
      <c r="P36" s="506">
        <f>Tabela178[[#This Row],[CAD PRICE]]*SUM(S36:AC36)</f>
        <v>0</v>
      </c>
      <c r="Q36" s="62">
        <f>SUM(Tabela178[[#This Row],[RAL 1023]:[Custom made colour (7% add price)]])</f>
        <v>0</v>
      </c>
      <c r="R36" s="128">
        <f t="shared" si="2"/>
        <v>0</v>
      </c>
      <c r="S36" s="482"/>
      <c r="T36" s="486"/>
      <c r="U36" s="466"/>
      <c r="V36" s="435"/>
      <c r="W36" s="467"/>
      <c r="X36" s="468"/>
      <c r="Y36" s="436"/>
      <c r="Z36" s="470"/>
      <c r="AA36" s="469"/>
      <c r="AB36" s="449"/>
      <c r="AC36" s="83"/>
      <c r="AD36" s="206"/>
      <c r="AE36" s="30"/>
      <c r="AF36" s="30"/>
      <c r="AG36" s="30"/>
      <c r="AH36" s="30"/>
      <c r="AI36" s="30"/>
    </row>
    <row r="37" spans="2:35" ht="12" customHeight="1" thickBot="1" x14ac:dyDescent="0.25">
      <c r="B37" s="29" t="s">
        <v>851</v>
      </c>
      <c r="C37" s="92" t="s">
        <v>977</v>
      </c>
      <c r="D37" s="204" t="s">
        <v>1317</v>
      </c>
      <c r="E37" s="48" t="s">
        <v>890</v>
      </c>
      <c r="F37" s="47">
        <v>3.12</v>
      </c>
      <c r="G37" s="47" cm="1">
        <f t="array" ref="G37">SUM(Tabela178[[#This Row],[RAL 1023]:[Custom made colour (7% add price)]]*Tabela178[[#This Row],[PCS BY PACKS]])</f>
        <v>0</v>
      </c>
      <c r="H37" s="47">
        <v>1</v>
      </c>
      <c r="I37" s="224">
        <v>112</v>
      </c>
      <c r="J37" s="224">
        <f>ROUNDUP(Tabela178[[#This Row],[PRICE]]*(1+PRICES!$C$5),0)</f>
        <v>135</v>
      </c>
      <c r="K37" s="158">
        <v>0.15</v>
      </c>
      <c r="L37" s="49">
        <f>Tabela178[[#This Row],[PRICE]]*Tabela178[[#This Row],[DISCOUNT per piece '[%']]]</f>
        <v>16.8</v>
      </c>
      <c r="M37" s="49">
        <f>Tabela178[[#This Row],[PRICE]]*(1-Tabela178[[#This Row],[DISCOUNT per piece '[%']]])</f>
        <v>95.2</v>
      </c>
      <c r="N37" s="178">
        <f>Tabela178[[#This Row],[PCS]]*Tabela178[[#This Row],[PROMOTIONAL PRICE]]</f>
        <v>0</v>
      </c>
      <c r="O37" s="498" cm="1">
        <f t="array" ref="O37">ROUNDUP(Tabela178[[#This Row],[NEW PRICE]]*eurofxref_daily[],2)</f>
        <v>217.19</v>
      </c>
      <c r="P37" s="506">
        <f>Tabela178[[#This Row],[CAD PRICE]]*SUM(S37:AC37)</f>
        <v>0</v>
      </c>
      <c r="Q37" s="62">
        <f>SUM(Tabela178[[#This Row],[RAL 1023]:[Custom made colour (7% add price)]])</f>
        <v>0</v>
      </c>
      <c r="R37" s="128">
        <f t="shared" si="2"/>
        <v>0</v>
      </c>
      <c r="S37" s="482"/>
      <c r="T37" s="486"/>
      <c r="U37" s="466"/>
      <c r="V37" s="435"/>
      <c r="W37" s="467"/>
      <c r="X37" s="468"/>
      <c r="Y37" s="436"/>
      <c r="Z37" s="470"/>
      <c r="AA37" s="469"/>
      <c r="AB37" s="449"/>
      <c r="AC37" s="83"/>
      <c r="AD37" s="206"/>
      <c r="AE37" s="30"/>
      <c r="AF37" s="30"/>
      <c r="AG37" s="30"/>
      <c r="AH37" s="30"/>
      <c r="AI37" s="30"/>
    </row>
    <row r="38" spans="2:35" ht="12" customHeight="1" thickBot="1" x14ac:dyDescent="0.25">
      <c r="B38" s="29" t="s">
        <v>852</v>
      </c>
      <c r="C38" s="92" t="s">
        <v>978</v>
      </c>
      <c r="D38" s="204" t="s">
        <v>1318</v>
      </c>
      <c r="E38" s="48" t="s">
        <v>891</v>
      </c>
      <c r="F38" s="47">
        <v>3.47</v>
      </c>
      <c r="G38" s="47" cm="1">
        <f t="array" ref="G38">SUM(Tabela178[[#This Row],[RAL 1023]:[Custom made colour (7% add price)]]*Tabela178[[#This Row],[PCS BY PACKS]])</f>
        <v>0</v>
      </c>
      <c r="H38" s="47">
        <v>1</v>
      </c>
      <c r="I38" s="224">
        <v>122</v>
      </c>
      <c r="J38" s="224">
        <f>ROUNDUP(Tabela178[[#This Row],[PRICE]]*(1+PRICES!$C$5),0)</f>
        <v>147</v>
      </c>
      <c r="K38" s="158">
        <v>0.15</v>
      </c>
      <c r="L38" s="49">
        <f>Tabela178[[#This Row],[PRICE]]*Tabela178[[#This Row],[DISCOUNT per piece '[%']]]</f>
        <v>18.3</v>
      </c>
      <c r="M38" s="49">
        <f>Tabela178[[#This Row],[PRICE]]*(1-Tabela178[[#This Row],[DISCOUNT per piece '[%']]])</f>
        <v>103.7</v>
      </c>
      <c r="N38" s="178">
        <f>Tabela178[[#This Row],[PCS]]*Tabela178[[#This Row],[PROMOTIONAL PRICE]]</f>
        <v>0</v>
      </c>
      <c r="O38" s="498" cm="1">
        <f t="array" ref="O38">ROUNDUP(Tabela178[[#This Row],[NEW PRICE]]*eurofxref_daily[],2)</f>
        <v>236.5</v>
      </c>
      <c r="P38" s="506">
        <f>Tabela178[[#This Row],[CAD PRICE]]*SUM(S38:AC38)</f>
        <v>0</v>
      </c>
      <c r="Q38" s="62">
        <f>SUM(Tabela178[[#This Row],[RAL 1023]:[Custom made colour (7% add price)]])</f>
        <v>0</v>
      </c>
      <c r="R38" s="128">
        <f t="shared" si="2"/>
        <v>0</v>
      </c>
      <c r="S38" s="482"/>
      <c r="T38" s="486"/>
      <c r="U38" s="466"/>
      <c r="V38" s="435"/>
      <c r="W38" s="467"/>
      <c r="X38" s="468"/>
      <c r="Y38" s="436"/>
      <c r="Z38" s="470"/>
      <c r="AA38" s="469"/>
      <c r="AB38" s="449"/>
      <c r="AC38" s="83"/>
      <c r="AD38" s="206"/>
      <c r="AE38" s="30"/>
      <c r="AF38" s="30"/>
      <c r="AG38" s="30"/>
      <c r="AH38" s="30"/>
      <c r="AI38" s="30"/>
    </row>
    <row r="39" spans="2:35" ht="12" customHeight="1" thickBot="1" x14ac:dyDescent="0.25">
      <c r="B39" s="29" t="s">
        <v>853</v>
      </c>
      <c r="C39" s="92" t="s">
        <v>979</v>
      </c>
      <c r="D39" s="204" t="s">
        <v>1319</v>
      </c>
      <c r="E39" s="48" t="s">
        <v>892</v>
      </c>
      <c r="F39" s="47">
        <v>4.0199999999999996</v>
      </c>
      <c r="G39" s="47" cm="1">
        <f t="array" ref="G39">SUM(Tabela178[[#This Row],[RAL 1023]:[Custom made colour (7% add price)]]*Tabela178[[#This Row],[PCS BY PACKS]])</f>
        <v>0</v>
      </c>
      <c r="H39" s="47">
        <v>1</v>
      </c>
      <c r="I39" s="224">
        <v>138</v>
      </c>
      <c r="J39" s="224">
        <f>ROUNDUP(Tabela178[[#This Row],[PRICE]]*(1+PRICES!$C$5),0)</f>
        <v>166</v>
      </c>
      <c r="K39" s="158">
        <v>0.15</v>
      </c>
      <c r="L39" s="49">
        <f>Tabela178[[#This Row],[PRICE]]*Tabela178[[#This Row],[DISCOUNT per piece '[%']]]</f>
        <v>20.7</v>
      </c>
      <c r="M39" s="49">
        <f>Tabela178[[#This Row],[PRICE]]*(1-Tabela178[[#This Row],[DISCOUNT per piece '[%']]])</f>
        <v>117.3</v>
      </c>
      <c r="N39" s="178">
        <f>Tabela178[[#This Row],[PCS]]*Tabela178[[#This Row],[PROMOTIONAL PRICE]]</f>
        <v>0</v>
      </c>
      <c r="O39" s="498" cm="1">
        <f t="array" ref="O39">ROUNDUP(Tabela178[[#This Row],[NEW PRICE]]*eurofxref_daily[],2)</f>
        <v>267.07</v>
      </c>
      <c r="P39" s="506">
        <f>Tabela178[[#This Row],[CAD PRICE]]*SUM(S39:AC39)</f>
        <v>0</v>
      </c>
      <c r="Q39" s="62">
        <f>SUM(Tabela178[[#This Row],[RAL 1023]:[Custom made colour (7% add price)]])</f>
        <v>0</v>
      </c>
      <c r="R39" s="128">
        <f t="shared" si="2"/>
        <v>0</v>
      </c>
      <c r="S39" s="482"/>
      <c r="T39" s="486"/>
      <c r="U39" s="466"/>
      <c r="V39" s="435"/>
      <c r="W39" s="467"/>
      <c r="X39" s="468"/>
      <c r="Y39" s="436"/>
      <c r="Z39" s="470"/>
      <c r="AA39" s="469"/>
      <c r="AB39" s="449"/>
      <c r="AC39" s="83"/>
      <c r="AD39" s="206"/>
      <c r="AE39" s="30"/>
      <c r="AF39" s="30"/>
      <c r="AG39" s="30"/>
      <c r="AH39" s="30"/>
      <c r="AI39" s="30"/>
    </row>
    <row r="40" spans="2:35" ht="12" customHeight="1" thickBot="1" x14ac:dyDescent="0.25">
      <c r="B40" s="29" t="s">
        <v>854</v>
      </c>
      <c r="C40" s="92" t="s">
        <v>980</v>
      </c>
      <c r="D40" s="204" t="s">
        <v>1320</v>
      </c>
      <c r="E40" s="48" t="s">
        <v>893</v>
      </c>
      <c r="F40" s="47">
        <v>4.76</v>
      </c>
      <c r="G40" s="47" cm="1">
        <f t="array" ref="G40">SUM(Tabela178[[#This Row],[RAL 1023]:[Custom made colour (7% add price)]]*Tabela178[[#This Row],[PCS BY PACKS]])</f>
        <v>0</v>
      </c>
      <c r="H40" s="47">
        <v>1</v>
      </c>
      <c r="I40" s="224">
        <v>149</v>
      </c>
      <c r="J40" s="224">
        <f>ROUNDUP(Tabela178[[#This Row],[PRICE]]*(1+PRICES!$C$5),0)</f>
        <v>179</v>
      </c>
      <c r="K40" s="158">
        <v>0.15</v>
      </c>
      <c r="L40" s="49">
        <f>Tabela178[[#This Row],[PRICE]]*Tabela178[[#This Row],[DISCOUNT per piece '[%']]]</f>
        <v>22.349999999999998</v>
      </c>
      <c r="M40" s="49">
        <f>Tabela178[[#This Row],[PRICE]]*(1-Tabela178[[#This Row],[DISCOUNT per piece '[%']]])</f>
        <v>126.64999999999999</v>
      </c>
      <c r="N40" s="178">
        <f>Tabela178[[#This Row],[PCS]]*Tabela178[[#This Row],[PROMOTIONAL PRICE]]</f>
        <v>0</v>
      </c>
      <c r="O40" s="498" cm="1">
        <f t="array" ref="O40">ROUNDUP(Tabela178[[#This Row],[NEW PRICE]]*eurofxref_daily[],2)</f>
        <v>287.98</v>
      </c>
      <c r="P40" s="506">
        <f>Tabela178[[#This Row],[CAD PRICE]]*SUM(S40:AC40)</f>
        <v>0</v>
      </c>
      <c r="Q40" s="62">
        <f>SUM(Tabela178[[#This Row],[RAL 1023]:[Custom made colour (7% add price)]])</f>
        <v>0</v>
      </c>
      <c r="R40" s="128">
        <f t="shared" si="2"/>
        <v>0</v>
      </c>
      <c r="S40" s="482"/>
      <c r="T40" s="486"/>
      <c r="U40" s="466"/>
      <c r="V40" s="435"/>
      <c r="W40" s="467"/>
      <c r="X40" s="468"/>
      <c r="Y40" s="436"/>
      <c r="Z40" s="470"/>
      <c r="AA40" s="469"/>
      <c r="AB40" s="449"/>
      <c r="AC40" s="83"/>
      <c r="AD40" s="206"/>
      <c r="AE40" s="30"/>
      <c r="AF40" s="30"/>
      <c r="AG40" s="30"/>
      <c r="AH40" s="30"/>
      <c r="AI40" s="30"/>
    </row>
    <row r="41" spans="2:35" ht="12" customHeight="1" thickBot="1" x14ac:dyDescent="0.25">
      <c r="B41" s="29" t="s">
        <v>855</v>
      </c>
      <c r="C41" s="92" t="s">
        <v>981</v>
      </c>
      <c r="D41" s="204" t="s">
        <v>1321</v>
      </c>
      <c r="E41" s="48" t="s">
        <v>894</v>
      </c>
      <c r="F41" s="47">
        <v>5.0599999999999996</v>
      </c>
      <c r="G41" s="47" cm="1">
        <f t="array" ref="G41">SUM(Tabela178[[#This Row],[RAL 1023]:[Custom made colour (7% add price)]]*Tabela178[[#This Row],[PCS BY PACKS]])</f>
        <v>0</v>
      </c>
      <c r="H41" s="47">
        <v>1</v>
      </c>
      <c r="I41" s="224">
        <v>165</v>
      </c>
      <c r="J41" s="224">
        <f>ROUNDUP(Tabela178[[#This Row],[PRICE]]*(1+PRICES!$C$5),0)</f>
        <v>198</v>
      </c>
      <c r="K41" s="158">
        <v>0.15</v>
      </c>
      <c r="L41" s="49">
        <f>Tabela178[[#This Row],[PRICE]]*Tabela178[[#This Row],[DISCOUNT per piece '[%']]]</f>
        <v>24.75</v>
      </c>
      <c r="M41" s="49">
        <f>Tabela178[[#This Row],[PRICE]]*(1-Tabela178[[#This Row],[DISCOUNT per piece '[%']]])</f>
        <v>140.25</v>
      </c>
      <c r="N41" s="178">
        <f>Tabela178[[#This Row],[PCS]]*Tabela178[[#This Row],[PROMOTIONAL PRICE]]</f>
        <v>0</v>
      </c>
      <c r="O41" s="498" cm="1">
        <f t="array" ref="O41">ROUNDUP(Tabela178[[#This Row],[NEW PRICE]]*eurofxref_daily[],2)</f>
        <v>318.55</v>
      </c>
      <c r="P41" s="506">
        <f>Tabela178[[#This Row],[CAD PRICE]]*SUM(S41:AC41)</f>
        <v>0</v>
      </c>
      <c r="Q41" s="62">
        <f>SUM(Tabela178[[#This Row],[RAL 1023]:[Custom made colour (7% add price)]])</f>
        <v>0</v>
      </c>
      <c r="R41" s="128">
        <f t="shared" si="2"/>
        <v>0</v>
      </c>
      <c r="S41" s="482"/>
      <c r="T41" s="486"/>
      <c r="U41" s="466"/>
      <c r="V41" s="435"/>
      <c r="W41" s="467"/>
      <c r="X41" s="468"/>
      <c r="Y41" s="436"/>
      <c r="Z41" s="470"/>
      <c r="AA41" s="469"/>
      <c r="AB41" s="449"/>
      <c r="AC41" s="83"/>
      <c r="AD41" s="206"/>
      <c r="AE41" s="30"/>
      <c r="AF41" s="30"/>
      <c r="AG41" s="30"/>
      <c r="AH41" s="30"/>
      <c r="AI41" s="30"/>
    </row>
    <row r="42" spans="2:35" ht="12" customHeight="1" thickBot="1" x14ac:dyDescent="0.25">
      <c r="B42" s="29" t="s">
        <v>856</v>
      </c>
      <c r="C42" s="92" t="s">
        <v>982</v>
      </c>
      <c r="D42" s="204" t="s">
        <v>1322</v>
      </c>
      <c r="E42" s="48" t="s">
        <v>895</v>
      </c>
      <c r="F42" s="47">
        <v>3.41</v>
      </c>
      <c r="G42" s="47" cm="1">
        <f t="array" ref="G42">SUM(Tabela178[[#This Row],[RAL 1023]:[Custom made colour (7% add price)]]*Tabela178[[#This Row],[PCS BY PACKS]])</f>
        <v>0</v>
      </c>
      <c r="H42" s="47">
        <v>1</v>
      </c>
      <c r="I42" s="224">
        <v>101</v>
      </c>
      <c r="J42" s="224">
        <f>ROUNDUP(Tabela178[[#This Row],[PRICE]]*(1+PRICES!$C$5),0)</f>
        <v>122</v>
      </c>
      <c r="K42" s="158">
        <v>0.15</v>
      </c>
      <c r="L42" s="49">
        <f>Tabela178[[#This Row],[PRICE]]*Tabela178[[#This Row],[DISCOUNT per piece '[%']]]</f>
        <v>15.149999999999999</v>
      </c>
      <c r="M42" s="49">
        <f>Tabela178[[#This Row],[PRICE]]*(1-Tabela178[[#This Row],[DISCOUNT per piece '[%']]])</f>
        <v>85.85</v>
      </c>
      <c r="N42" s="178">
        <f>Tabela178[[#This Row],[PCS]]*Tabela178[[#This Row],[PROMOTIONAL PRICE]]</f>
        <v>0</v>
      </c>
      <c r="O42" s="498" cm="1">
        <f t="array" ref="O42">ROUNDUP(Tabela178[[#This Row],[NEW PRICE]]*eurofxref_daily[],2)</f>
        <v>196.28</v>
      </c>
      <c r="P42" s="506">
        <f>Tabela178[[#This Row],[CAD PRICE]]*SUM(S42:AC42)</f>
        <v>0</v>
      </c>
      <c r="Q42" s="62">
        <f>SUM(Tabela178[[#This Row],[RAL 1023]:[Custom made colour (7% add price)]])</f>
        <v>0</v>
      </c>
      <c r="R42" s="128">
        <f t="shared" si="2"/>
        <v>0</v>
      </c>
      <c r="S42" s="482"/>
      <c r="T42" s="486"/>
      <c r="U42" s="466"/>
      <c r="V42" s="435"/>
      <c r="W42" s="467"/>
      <c r="X42" s="468"/>
      <c r="Y42" s="436"/>
      <c r="Z42" s="470"/>
      <c r="AA42" s="469"/>
      <c r="AB42" s="449"/>
      <c r="AC42" s="83"/>
      <c r="AD42" s="206"/>
      <c r="AE42" s="30"/>
      <c r="AF42" s="30"/>
      <c r="AG42" s="30"/>
      <c r="AH42" s="30"/>
      <c r="AI42" s="30"/>
    </row>
    <row r="43" spans="2:35" ht="12" customHeight="1" thickBot="1" x14ac:dyDescent="0.25">
      <c r="B43" s="29" t="s">
        <v>857</v>
      </c>
      <c r="C43" s="92" t="s">
        <v>983</v>
      </c>
      <c r="D43" s="204" t="s">
        <v>1323</v>
      </c>
      <c r="E43" s="48" t="s">
        <v>896</v>
      </c>
      <c r="F43" s="47">
        <v>5.67</v>
      </c>
      <c r="G43" s="47" cm="1">
        <f t="array" ref="G43">SUM(Tabela178[[#This Row],[RAL 1023]:[Custom made colour (7% add price)]]*Tabela178[[#This Row],[PCS BY PACKS]])</f>
        <v>0</v>
      </c>
      <c r="H43" s="47">
        <v>1</v>
      </c>
      <c r="I43" s="224">
        <v>154</v>
      </c>
      <c r="J43" s="224">
        <f>ROUNDUP(Tabela178[[#This Row],[PRICE]]*(1+PRICES!$C$5),0)</f>
        <v>185</v>
      </c>
      <c r="K43" s="158">
        <v>0.15</v>
      </c>
      <c r="L43" s="49">
        <f>Tabela178[[#This Row],[PRICE]]*Tabela178[[#This Row],[DISCOUNT per piece '[%']]]</f>
        <v>23.099999999999998</v>
      </c>
      <c r="M43" s="49">
        <f>Tabela178[[#This Row],[PRICE]]*(1-Tabela178[[#This Row],[DISCOUNT per piece '[%']]])</f>
        <v>130.9</v>
      </c>
      <c r="N43" s="178">
        <f>Tabela178[[#This Row],[PCS]]*Tabela178[[#This Row],[PROMOTIONAL PRICE]]</f>
        <v>0</v>
      </c>
      <c r="O43" s="498" cm="1">
        <f t="array" ref="O43">ROUNDUP(Tabela178[[#This Row],[NEW PRICE]]*eurofxref_daily[],2)</f>
        <v>297.63</v>
      </c>
      <c r="P43" s="506">
        <f>Tabela178[[#This Row],[CAD PRICE]]*SUM(S43:AC43)</f>
        <v>0</v>
      </c>
      <c r="Q43" s="62">
        <f>SUM(Tabela178[[#This Row],[RAL 1023]:[Custom made colour (7% add price)]])</f>
        <v>0</v>
      </c>
      <c r="R43" s="128">
        <f t="shared" si="2"/>
        <v>0</v>
      </c>
      <c r="S43" s="482"/>
      <c r="T43" s="486"/>
      <c r="U43" s="466"/>
      <c r="V43" s="435"/>
      <c r="W43" s="467"/>
      <c r="X43" s="468"/>
      <c r="Y43" s="436"/>
      <c r="Z43" s="470"/>
      <c r="AA43" s="469"/>
      <c r="AB43" s="449"/>
      <c r="AC43" s="83"/>
      <c r="AD43" s="206"/>
      <c r="AE43" s="30"/>
      <c r="AF43" s="30"/>
      <c r="AG43" s="30"/>
      <c r="AH43" s="30"/>
      <c r="AI43" s="30"/>
    </row>
    <row r="44" spans="2:35" ht="12" customHeight="1" thickBot="1" x14ac:dyDescent="0.25">
      <c r="B44" s="122" t="s">
        <v>858</v>
      </c>
      <c r="C44" s="151" t="s">
        <v>1136</v>
      </c>
      <c r="D44" s="126"/>
      <c r="E44" s="124"/>
      <c r="F44" s="124"/>
      <c r="G44" s="401" cm="1">
        <f t="array" ref="G44">SUM(Tabela178[[#This Row],[RAL 1023]:[Custom made colour (7% add price)]]*Tabela178[[#This Row],[PCS BY PACKS]])</f>
        <v>0</v>
      </c>
      <c r="H44" s="401"/>
      <c r="I44" s="358"/>
      <c r="J44" s="124"/>
      <c r="K44" s="124"/>
      <c r="L44" s="124"/>
      <c r="M44" s="124"/>
      <c r="N44" s="215"/>
      <c r="O44" s="124"/>
      <c r="P44" s="124"/>
      <c r="Q44" s="124"/>
      <c r="R44" s="140"/>
      <c r="S44" s="80"/>
      <c r="T44" s="80"/>
      <c r="U44" s="80"/>
      <c r="V44" s="80"/>
      <c r="W44" s="80"/>
      <c r="X44" s="80"/>
      <c r="Y44" s="80"/>
      <c r="Z44" s="80"/>
      <c r="AA44" s="457"/>
      <c r="AB44" s="454"/>
      <c r="AC44" s="81"/>
      <c r="AD44" s="201"/>
      <c r="AE44" s="30"/>
      <c r="AF44" s="30"/>
      <c r="AG44" s="30"/>
      <c r="AH44" s="30"/>
      <c r="AI44" s="30"/>
    </row>
    <row r="45" spans="2:35" ht="12" customHeight="1" thickBot="1" x14ac:dyDescent="0.25">
      <c r="B45" s="76" t="s">
        <v>861</v>
      </c>
      <c r="C45" s="92" t="s">
        <v>1989</v>
      </c>
      <c r="D45" s="207" t="s">
        <v>1324</v>
      </c>
      <c r="E45" s="78"/>
      <c r="F45" s="77">
        <v>23.17</v>
      </c>
      <c r="G45" s="77" cm="1">
        <f t="array" ref="G45">SUM(Tabela178[[#This Row],[RAL 1023]:[Custom made colour (7% add price)]]*Tabela178[[#This Row],[PCS BY PACKS]])</f>
        <v>0</v>
      </c>
      <c r="H45" s="77">
        <v>10</v>
      </c>
      <c r="I45" s="224">
        <v>795</v>
      </c>
      <c r="J45" s="224">
        <f>ROUNDUP(Tabela178[[#This Row],[PRICE]]*(1+PRICES!$C$5),0)</f>
        <v>954</v>
      </c>
      <c r="K45" s="175">
        <v>0.15</v>
      </c>
      <c r="L45" s="79">
        <f>Tabela178[[#This Row],[PRICE]]*Tabela178[[#This Row],[DISCOUNT per piece '[%']]]</f>
        <v>119.25</v>
      </c>
      <c r="M45" s="79">
        <f>Tabela178[[#This Row],[PRICE]]*(1-Tabela178[[#This Row],[DISCOUNT per piece '[%']]])</f>
        <v>675.75</v>
      </c>
      <c r="N45" s="176">
        <f>Tabela178[[#This Row],[PCS]]*Tabela178[[#This Row],[PROMOTIONAL PRICE]]</f>
        <v>0</v>
      </c>
      <c r="O45" s="498" cm="1">
        <f t="array" ref="O45">ROUNDUP(Tabela178[[#This Row],[NEW PRICE]]*eurofxref_daily[],2)</f>
        <v>1534.8</v>
      </c>
      <c r="P45" s="506">
        <f>Tabela178[[#This Row],[CAD PRICE]]*SUM(S45:AC45)</f>
        <v>0</v>
      </c>
      <c r="Q45" s="62" cm="1">
        <f t="array" ref="Q45">SUM(Tabela178[[#This Row],[RAL 1023]:[Custom made colour (7% add price)]]*Tabela178[[#This Row],[PCS BY PACKS]])</f>
        <v>0</v>
      </c>
      <c r="R45" s="62">
        <f t="shared" ref="R45:R58" si="3">Q45*F45</f>
        <v>0</v>
      </c>
      <c r="S45" s="482"/>
      <c r="T45" s="486"/>
      <c r="U45" s="466"/>
      <c r="V45" s="435"/>
      <c r="W45" s="467"/>
      <c r="X45" s="468"/>
      <c r="Y45" s="436"/>
      <c r="Z45" s="470"/>
      <c r="AA45" s="469"/>
      <c r="AB45" s="449"/>
      <c r="AC45" s="82"/>
      <c r="AD45" s="206"/>
      <c r="AE45" s="218">
        <v>771</v>
      </c>
      <c r="AF45" s="30"/>
      <c r="AG45" s="30"/>
      <c r="AH45" s="30"/>
      <c r="AI45" s="30"/>
    </row>
    <row r="46" spans="2:35" ht="12" customHeight="1" thickBot="1" x14ac:dyDescent="0.25">
      <c r="B46" s="46" t="s">
        <v>862</v>
      </c>
      <c r="C46" s="92" t="s">
        <v>1990</v>
      </c>
      <c r="D46" s="207" t="s">
        <v>1325</v>
      </c>
      <c r="E46" s="48"/>
      <c r="F46" s="47">
        <v>29.76</v>
      </c>
      <c r="G46" s="47" cm="1">
        <f t="array" ref="G46">SUM(Tabela178[[#This Row],[RAL 1023]:[Custom made colour (7% add price)]]*Tabela178[[#This Row],[PCS BY PACKS]])</f>
        <v>0</v>
      </c>
      <c r="H46" s="47">
        <v>12</v>
      </c>
      <c r="I46" s="224">
        <v>923</v>
      </c>
      <c r="J46" s="224">
        <f>ROUNDUP(Tabela178[[#This Row],[PRICE]]*(1+PRICES!$C$5),0)</f>
        <v>1108</v>
      </c>
      <c r="K46" s="158">
        <v>0.15</v>
      </c>
      <c r="L46" s="49">
        <f>Tabela178[[#This Row],[PRICE]]*Tabela178[[#This Row],[DISCOUNT per piece '[%']]]</f>
        <v>138.44999999999999</v>
      </c>
      <c r="M46" s="49">
        <f>Tabela178[[#This Row],[PRICE]]*(1-Tabela178[[#This Row],[DISCOUNT per piece '[%']]])</f>
        <v>784.55</v>
      </c>
      <c r="N46" s="178">
        <f>Tabela178[[#This Row],[PCS]]*Tabela178[[#This Row],[PROMOTIONAL PRICE]]</f>
        <v>0</v>
      </c>
      <c r="O46" s="498" cm="1">
        <f t="array" ref="O46">ROUNDUP(Tabela178[[#This Row],[NEW PRICE]]*eurofxref_daily[],2)</f>
        <v>1782.56</v>
      </c>
      <c r="P46" s="506">
        <f>Tabela178[[#This Row],[CAD PRICE]]*SUM(S46:AC46)</f>
        <v>0</v>
      </c>
      <c r="Q46" s="62">
        <f>SUM(Tabela178[[#This Row],[RAL 1023]:[Custom made colour (7% add price)]])</f>
        <v>0</v>
      </c>
      <c r="R46" s="62">
        <f t="shared" si="3"/>
        <v>0</v>
      </c>
      <c r="S46" s="482"/>
      <c r="T46" s="486"/>
      <c r="U46" s="466"/>
      <c r="V46" s="435"/>
      <c r="W46" s="467"/>
      <c r="X46" s="468"/>
      <c r="Y46" s="436"/>
      <c r="Z46" s="470"/>
      <c r="AA46" s="469"/>
      <c r="AB46" s="449"/>
      <c r="AC46" s="82"/>
      <c r="AD46" s="206"/>
      <c r="AE46" s="219">
        <v>910</v>
      </c>
      <c r="AF46" s="30"/>
      <c r="AG46" s="30"/>
      <c r="AH46" s="30"/>
      <c r="AI46" s="30"/>
    </row>
    <row r="47" spans="2:35" ht="12" customHeight="1" thickBot="1" x14ac:dyDescent="0.25">
      <c r="B47" s="46" t="s">
        <v>863</v>
      </c>
      <c r="C47" s="92" t="s">
        <v>2050</v>
      </c>
      <c r="D47" s="207" t="s">
        <v>1326</v>
      </c>
      <c r="E47" s="48"/>
      <c r="F47" s="47">
        <v>22.01</v>
      </c>
      <c r="G47" s="47" cm="1">
        <f t="array" ref="G47">SUM(Tabela178[[#This Row],[RAL 1023]:[Custom made colour (7% add price)]]*Tabela178[[#This Row],[PCS BY PACKS]])</f>
        <v>0</v>
      </c>
      <c r="H47" s="47">
        <v>12</v>
      </c>
      <c r="I47" s="224">
        <v>732</v>
      </c>
      <c r="J47" s="224">
        <f>ROUNDUP(Tabela178[[#This Row],[PRICE]]*(1+PRICES!$C$5),0)</f>
        <v>879</v>
      </c>
      <c r="K47" s="158">
        <v>0.15</v>
      </c>
      <c r="L47" s="49">
        <f>Tabela178[[#This Row],[PRICE]]*Tabela178[[#This Row],[DISCOUNT per piece '[%']]]</f>
        <v>109.8</v>
      </c>
      <c r="M47" s="49">
        <f>Tabela178[[#This Row],[PRICE]]*(1-Tabela178[[#This Row],[DISCOUNT per piece '[%']]])</f>
        <v>622.19999999999993</v>
      </c>
      <c r="N47" s="178">
        <f>Tabela178[[#This Row],[PCS]]*Tabela178[[#This Row],[PROMOTIONAL PRICE]]</f>
        <v>0</v>
      </c>
      <c r="O47" s="498" cm="1">
        <f t="array" ref="O47">ROUNDUP(Tabela178[[#This Row],[NEW PRICE]]*eurofxref_daily[],2)</f>
        <v>1414.14</v>
      </c>
      <c r="P47" s="506">
        <f>Tabela178[[#This Row],[CAD PRICE]]*SUM(S47:AC47)</f>
        <v>0</v>
      </c>
      <c r="Q47" s="62" cm="1">
        <f t="array" ref="Q47">SUM(Tabela178[[#This Row],[RAL 1023]:[Custom made colour (7% add price)]]*Tabela178[[#This Row],[PCS BY PACKS]])</f>
        <v>0</v>
      </c>
      <c r="R47" s="128">
        <f t="shared" si="3"/>
        <v>0</v>
      </c>
      <c r="S47" s="482"/>
      <c r="T47" s="486"/>
      <c r="U47" s="466"/>
      <c r="V47" s="435"/>
      <c r="W47" s="467"/>
      <c r="X47" s="468"/>
      <c r="Y47" s="436"/>
      <c r="Z47" s="470"/>
      <c r="AA47" s="469"/>
      <c r="AB47" s="449"/>
      <c r="AC47" s="82"/>
      <c r="AD47" s="206"/>
      <c r="AE47" s="219">
        <v>698</v>
      </c>
      <c r="AF47" s="30"/>
      <c r="AG47" s="30"/>
      <c r="AH47" s="30"/>
      <c r="AI47" s="30"/>
    </row>
    <row r="48" spans="2:35" ht="12" customHeight="1" thickBot="1" x14ac:dyDescent="0.25">
      <c r="B48" s="46" t="s">
        <v>864</v>
      </c>
      <c r="C48" s="92" t="s">
        <v>1991</v>
      </c>
      <c r="D48" s="207" t="s">
        <v>1327</v>
      </c>
      <c r="E48" s="48"/>
      <c r="F48" s="47">
        <v>29.88</v>
      </c>
      <c r="G48" s="47" cm="1">
        <f t="array" ref="G48">SUM(Tabela178[[#This Row],[RAL 1023]:[Custom made colour (7% add price)]]*Tabela178[[#This Row],[PCS BY PACKS]])</f>
        <v>0</v>
      </c>
      <c r="H48" s="47">
        <v>10</v>
      </c>
      <c r="I48" s="224">
        <v>954</v>
      </c>
      <c r="J48" s="224">
        <f>ROUNDUP(Tabela178[[#This Row],[PRICE]]*(1+PRICES!$C$5),0)</f>
        <v>1145</v>
      </c>
      <c r="K48" s="158">
        <v>0.15</v>
      </c>
      <c r="L48" s="49">
        <f>Tabela178[[#This Row],[PRICE]]*Tabela178[[#This Row],[DISCOUNT per piece '[%']]]</f>
        <v>143.1</v>
      </c>
      <c r="M48" s="49">
        <f>Tabela178[[#This Row],[PRICE]]*(1-Tabela178[[#This Row],[DISCOUNT per piece '[%']]])</f>
        <v>810.9</v>
      </c>
      <c r="N48" s="178">
        <f>Tabela178[[#This Row],[PCS]]*Tabela178[[#This Row],[PROMOTIONAL PRICE]]</f>
        <v>0</v>
      </c>
      <c r="O48" s="498" cm="1">
        <f t="array" ref="O48">ROUNDUP(Tabela178[[#This Row],[NEW PRICE]]*eurofxref_daily[],2)</f>
        <v>1842.08</v>
      </c>
      <c r="P48" s="506">
        <f>Tabela178[[#This Row],[CAD PRICE]]*SUM(S48:AC48)</f>
        <v>0</v>
      </c>
      <c r="Q48" s="62" cm="1">
        <f t="array" ref="Q48">SUM(Tabela178[[#This Row],[RAL 1023]:[Custom made colour (7% add price)]]*Tabela178[[#This Row],[PCS BY PACKS]])</f>
        <v>0</v>
      </c>
      <c r="R48" s="128">
        <f t="shared" si="3"/>
        <v>0</v>
      </c>
      <c r="S48" s="482"/>
      <c r="T48" s="486"/>
      <c r="U48" s="466"/>
      <c r="V48" s="435"/>
      <c r="W48" s="467"/>
      <c r="X48" s="468"/>
      <c r="Y48" s="436"/>
      <c r="Z48" s="470"/>
      <c r="AA48" s="469"/>
      <c r="AB48" s="449"/>
      <c r="AC48" s="82"/>
      <c r="AD48" s="206"/>
      <c r="AE48" s="219">
        <v>919</v>
      </c>
      <c r="AF48" s="30"/>
      <c r="AG48" s="30"/>
      <c r="AH48" s="30"/>
      <c r="AI48" s="30"/>
    </row>
    <row r="49" spans="2:35" ht="12" customHeight="1" thickBot="1" x14ac:dyDescent="0.25">
      <c r="B49" s="46" t="s">
        <v>867</v>
      </c>
      <c r="C49" s="92" t="s">
        <v>1992</v>
      </c>
      <c r="D49" s="207" t="s">
        <v>1328</v>
      </c>
      <c r="E49" s="48"/>
      <c r="F49" s="47">
        <v>37.29</v>
      </c>
      <c r="G49" s="47" cm="1">
        <f t="array" ref="G49">SUM(Tabela178[[#This Row],[RAL 1023]:[Custom made colour (7% add price)]]*Tabela178[[#This Row],[PCS BY PACKS]])</f>
        <v>0</v>
      </c>
      <c r="H49" s="47">
        <v>9</v>
      </c>
      <c r="I49" s="224">
        <v>1180</v>
      </c>
      <c r="J49" s="224">
        <f>ROUNDUP(Tabela178[[#This Row],[PRICE]]*(1+PRICES!$C$5),0)</f>
        <v>1416</v>
      </c>
      <c r="K49" s="158">
        <v>0.15</v>
      </c>
      <c r="L49" s="49">
        <f>Tabela178[[#This Row],[PRICE]]*Tabela178[[#This Row],[DISCOUNT per piece '[%']]]</f>
        <v>177</v>
      </c>
      <c r="M49" s="49">
        <f>Tabela178[[#This Row],[PRICE]]*(1-Tabela178[[#This Row],[DISCOUNT per piece '[%']]])</f>
        <v>1003</v>
      </c>
      <c r="N49" s="178">
        <f>Tabela178[[#This Row],[PCS]]*Tabela178[[#This Row],[PROMOTIONAL PRICE]]</f>
        <v>0</v>
      </c>
      <c r="O49" s="498" cm="1">
        <f t="array" ref="O49">ROUNDUP(Tabela178[[#This Row],[NEW PRICE]]*eurofxref_daily[],2)</f>
        <v>2278.0700000000002</v>
      </c>
      <c r="P49" s="506">
        <f>Tabela178[[#This Row],[CAD PRICE]]*SUM(S49:AC49)</f>
        <v>0</v>
      </c>
      <c r="Q49" s="62" cm="1">
        <f t="array" ref="Q49">SUM(Tabela178[[#This Row],[RAL 1023]:[Custom made colour (7% add price)]]*Tabela178[[#This Row],[PCS BY PACKS]])</f>
        <v>0</v>
      </c>
      <c r="R49" s="128">
        <f t="shared" si="3"/>
        <v>0</v>
      </c>
      <c r="S49" s="482"/>
      <c r="T49" s="486"/>
      <c r="U49" s="466"/>
      <c r="V49" s="435"/>
      <c r="W49" s="467"/>
      <c r="X49" s="468"/>
      <c r="Y49" s="436"/>
      <c r="Z49" s="470"/>
      <c r="AA49" s="469"/>
      <c r="AB49" s="449"/>
      <c r="AC49" s="82"/>
      <c r="AD49" s="206"/>
      <c r="AE49" s="219">
        <v>1128</v>
      </c>
      <c r="AF49" s="30"/>
      <c r="AG49" s="30"/>
      <c r="AH49" s="30"/>
      <c r="AI49" s="30"/>
    </row>
    <row r="50" spans="2:35" ht="12" customHeight="1" thickBot="1" x14ac:dyDescent="0.25">
      <c r="B50" s="46" t="s">
        <v>868</v>
      </c>
      <c r="C50" s="92" t="s">
        <v>1993</v>
      </c>
      <c r="D50" s="207" t="s">
        <v>1329</v>
      </c>
      <c r="E50" s="48"/>
      <c r="F50" s="47">
        <v>37.56</v>
      </c>
      <c r="G50" s="47" cm="1">
        <f t="array" ref="G50">SUM(Tabela178[[#This Row],[RAL 1023]:[Custom made colour (7% add price)]]*Tabela178[[#This Row],[PCS BY PACKS]])</f>
        <v>0</v>
      </c>
      <c r="H50" s="47">
        <v>9</v>
      </c>
      <c r="I50" s="224">
        <v>1127</v>
      </c>
      <c r="J50" s="224">
        <f>ROUNDUP(Tabela178[[#This Row],[PRICE]]*(1+PRICES!$C$5),0)</f>
        <v>1353</v>
      </c>
      <c r="K50" s="158">
        <v>0.15</v>
      </c>
      <c r="L50" s="49">
        <f>Tabela178[[#This Row],[PRICE]]*Tabela178[[#This Row],[DISCOUNT per piece '[%']]]</f>
        <v>169.04999999999998</v>
      </c>
      <c r="M50" s="49">
        <f>Tabela178[[#This Row],[PRICE]]*(1-Tabela178[[#This Row],[DISCOUNT per piece '[%']]])</f>
        <v>957.94999999999993</v>
      </c>
      <c r="N50" s="178">
        <f>Tabela178[[#This Row],[PCS]]*Tabela178[[#This Row],[PROMOTIONAL PRICE]]</f>
        <v>0</v>
      </c>
      <c r="O50" s="498" cm="1">
        <f t="array" ref="O50">ROUNDUP(Tabela178[[#This Row],[NEW PRICE]]*eurofxref_daily[],2)</f>
        <v>2176.71</v>
      </c>
      <c r="P50" s="506">
        <f>Tabela178[[#This Row],[CAD PRICE]]*SUM(S50:AC50)</f>
        <v>0</v>
      </c>
      <c r="Q50" s="62" cm="1">
        <f t="array" ref="Q50">SUM(Tabela178[[#This Row],[RAL 1023]:[Custom made colour (7% add price)]]*Tabela178[[#This Row],[PCS BY PACKS]])</f>
        <v>0</v>
      </c>
      <c r="R50" s="128">
        <f t="shared" si="3"/>
        <v>0</v>
      </c>
      <c r="S50" s="482"/>
      <c r="T50" s="486"/>
      <c r="U50" s="466"/>
      <c r="V50" s="435"/>
      <c r="W50" s="467"/>
      <c r="X50" s="468"/>
      <c r="Y50" s="436"/>
      <c r="Z50" s="470"/>
      <c r="AA50" s="469"/>
      <c r="AB50" s="449"/>
      <c r="AC50" s="82"/>
      <c r="AD50" s="206"/>
      <c r="AE50" s="219">
        <f>463*2+145</f>
        <v>1071</v>
      </c>
      <c r="AF50" s="30"/>
      <c r="AG50" s="30"/>
      <c r="AH50" s="30"/>
      <c r="AI50" s="30"/>
    </row>
    <row r="51" spans="2:35" ht="12" customHeight="1" thickBot="1" x14ac:dyDescent="0.25">
      <c r="B51" s="46" t="s">
        <v>869</v>
      </c>
      <c r="C51" s="92" t="s">
        <v>1994</v>
      </c>
      <c r="D51" s="207" t="s">
        <v>1330</v>
      </c>
      <c r="E51" s="48"/>
      <c r="F51" s="47">
        <v>86.1</v>
      </c>
      <c r="G51" s="47" cm="1">
        <f t="array" ref="G51">SUM(Tabela178[[#This Row],[RAL 1023]:[Custom made colour (7% add price)]]*Tabela178[[#This Row],[PCS BY PACKS]])</f>
        <v>0</v>
      </c>
      <c r="H51" s="47">
        <v>21</v>
      </c>
      <c r="I51" s="224">
        <v>1834</v>
      </c>
      <c r="J51" s="224">
        <f>ROUNDUP(Tabela178[[#This Row],[PRICE]]*(1+PRICES!$C$5),0)</f>
        <v>2201</v>
      </c>
      <c r="K51" s="158">
        <v>0.15</v>
      </c>
      <c r="L51" s="49">
        <f>Tabela178[[#This Row],[PRICE]]*Tabela178[[#This Row],[DISCOUNT per piece '[%']]]</f>
        <v>275.09999999999997</v>
      </c>
      <c r="M51" s="49">
        <f>Tabela178[[#This Row],[PRICE]]*(1-Tabela178[[#This Row],[DISCOUNT per piece '[%']]])</f>
        <v>1558.8999999999999</v>
      </c>
      <c r="N51" s="178">
        <f>Tabela178[[#This Row],[PCS]]*Tabela178[[#This Row],[PROMOTIONAL PRICE]]</f>
        <v>0</v>
      </c>
      <c r="O51" s="498" cm="1">
        <f t="array" ref="O51">ROUNDUP(Tabela178[[#This Row],[NEW PRICE]]*eurofxref_daily[],2)</f>
        <v>3540.9700000000003</v>
      </c>
      <c r="P51" s="506">
        <f>Tabela178[[#This Row],[CAD PRICE]]*SUM(S51:AC51)</f>
        <v>0</v>
      </c>
      <c r="Q51" s="62" cm="1">
        <f t="array" ref="Q51">SUM(Tabela178[[#This Row],[RAL 1023]:[Custom made colour (7% add price)]]*Tabela178[[#This Row],[PCS BY PACKS]])</f>
        <v>0</v>
      </c>
      <c r="R51" s="128">
        <f t="shared" si="3"/>
        <v>0</v>
      </c>
      <c r="S51" s="482"/>
      <c r="T51" s="486"/>
      <c r="U51" s="466"/>
      <c r="V51" s="435"/>
      <c r="W51" s="467"/>
      <c r="X51" s="468"/>
      <c r="Y51" s="436"/>
      <c r="Z51" s="470"/>
      <c r="AA51" s="469"/>
      <c r="AB51" s="449"/>
      <c r="AC51" s="82"/>
      <c r="AD51" s="205"/>
      <c r="AE51" s="30"/>
      <c r="AF51" s="30"/>
      <c r="AG51" s="30"/>
      <c r="AH51" s="30"/>
      <c r="AI51" s="30"/>
    </row>
    <row r="52" spans="2:35" ht="12" customHeight="1" thickBot="1" x14ac:dyDescent="0.25">
      <c r="B52" s="220"/>
      <c r="C52" s="92" t="s">
        <v>1995</v>
      </c>
      <c r="D52" s="207" t="s">
        <v>1331</v>
      </c>
      <c r="E52" s="48"/>
      <c r="F52" s="47">
        <v>86.1</v>
      </c>
      <c r="G52" s="47" cm="1">
        <f t="array" ref="G52">SUM(Tabela178[[#This Row],[RAL 1023]:[Custom made colour (7% add price)]]*Tabela178[[#This Row],[PCS BY PACKS]])</f>
        <v>0</v>
      </c>
      <c r="H52" s="47">
        <v>21</v>
      </c>
      <c r="I52" s="224">
        <v>2886</v>
      </c>
      <c r="J52" s="224">
        <f>ROUNDUP(Tabela178[[#This Row],[PRICE]]*(1+PRICES!$C$5),0)</f>
        <v>3464</v>
      </c>
      <c r="K52" s="158">
        <v>0.15</v>
      </c>
      <c r="L52" s="49">
        <f>Tabela178[[#This Row],[PRICE]]*Tabela178[[#This Row],[DISCOUNT per piece '[%']]]</f>
        <v>432.9</v>
      </c>
      <c r="M52" s="49">
        <f>Tabela178[[#This Row],[PRICE]]*(1-Tabela178[[#This Row],[DISCOUNT per piece '[%']]])</f>
        <v>2453.1</v>
      </c>
      <c r="N52" s="178">
        <f>Tabela178[[#This Row],[PCS]]*Tabela178[[#This Row],[PROMOTIONAL PRICE]]</f>
        <v>0</v>
      </c>
      <c r="O52" s="498" cm="1">
        <f t="array" ref="O52">ROUNDUP(Tabela178[[#This Row],[NEW PRICE]]*eurofxref_daily[],2)</f>
        <v>5572.89</v>
      </c>
      <c r="P52" s="506">
        <f>Tabela178[[#This Row],[CAD PRICE]]*SUM(S52:AC52)</f>
        <v>0</v>
      </c>
      <c r="Q52" s="62" cm="1">
        <f t="array" ref="Q52">SUM(Tabela178[[#This Row],[RAL 1023]:[Custom made colour (7% add price)]]*Tabela178[[#This Row],[PCS BY PACKS]])</f>
        <v>0</v>
      </c>
      <c r="R52" s="128">
        <f t="shared" si="3"/>
        <v>0</v>
      </c>
      <c r="S52" s="482"/>
      <c r="T52" s="486"/>
      <c r="U52" s="466"/>
      <c r="V52" s="435"/>
      <c r="W52" s="467"/>
      <c r="X52" s="468"/>
      <c r="Y52" s="436"/>
      <c r="Z52" s="470"/>
      <c r="AA52" s="469"/>
      <c r="AB52" s="449"/>
      <c r="AC52" s="82"/>
      <c r="AD52" s="152"/>
      <c r="AE52" s="30"/>
      <c r="AF52" s="30"/>
      <c r="AG52" s="30"/>
      <c r="AH52" s="30"/>
      <c r="AI52" s="30"/>
    </row>
    <row r="53" spans="2:35" ht="12" customHeight="1" thickBot="1" x14ac:dyDescent="0.25">
      <c r="C53" s="92" t="s">
        <v>1996</v>
      </c>
      <c r="D53" s="207" t="s">
        <v>1332</v>
      </c>
      <c r="E53" s="48"/>
      <c r="F53" s="47"/>
      <c r="G53" s="47" cm="1">
        <f t="array" ref="G53">SUM(Tabela178[[#This Row],[RAL 1023]:[Custom made colour (7% add price)]]*Tabela178[[#This Row],[PCS BY PACKS]])</f>
        <v>0</v>
      </c>
      <c r="H53" s="47">
        <v>4</v>
      </c>
      <c r="I53" s="224">
        <v>424</v>
      </c>
      <c r="J53" s="224">
        <f>ROUNDUP(Tabela178[[#This Row],[PRICE]]*(1+PRICES!$C$5),0)</f>
        <v>509</v>
      </c>
      <c r="K53" s="49"/>
      <c r="L53" s="49">
        <f>Tabela178[[#This Row],[PRICE]]*Tabela178[[#This Row],[DISCOUNT per piece '[%']]]</f>
        <v>0</v>
      </c>
      <c r="M53" s="49">
        <f>Tabela178[[#This Row],[PRICE]]*(1-Tabela178[[#This Row],[DISCOUNT per piece '[%']]])</f>
        <v>424</v>
      </c>
      <c r="N53" s="49">
        <f>Tabela178[[#This Row],[PCS]]*Tabela178[[#This Row],[PROMOTIONAL PRICE]]</f>
        <v>0</v>
      </c>
      <c r="O53" s="498" cm="1">
        <f t="array" ref="O53">ROUNDUP(Tabela178[[#This Row],[NEW PRICE]]*eurofxref_daily[],2)</f>
        <v>818.88</v>
      </c>
      <c r="P53" s="506">
        <f>Tabela178[[#This Row],[CAD PRICE]]*SUM(S53:AC53)</f>
        <v>0</v>
      </c>
      <c r="Q53" s="62" cm="1">
        <f t="array" ref="Q53">SUM(Tabela178[[#This Row],[RAL 1023]:[Custom made colour (7% add price)]]*Tabela178[[#This Row],[PCS BY PACKS]])</f>
        <v>0</v>
      </c>
      <c r="R53" s="128">
        <f t="shared" si="3"/>
        <v>0</v>
      </c>
      <c r="S53" s="482"/>
      <c r="T53" s="486"/>
      <c r="U53" s="466"/>
      <c r="V53" s="435"/>
      <c r="W53" s="467"/>
      <c r="X53" s="468"/>
      <c r="Y53" s="436"/>
      <c r="Z53" s="470"/>
      <c r="AA53" s="469"/>
      <c r="AB53" s="449"/>
      <c r="AC53" s="222"/>
      <c r="AD53" s="152"/>
      <c r="AE53" s="30"/>
      <c r="AF53" s="30"/>
      <c r="AG53" s="30"/>
      <c r="AH53" s="30"/>
      <c r="AI53" s="30"/>
    </row>
    <row r="54" spans="2:35" ht="12" customHeight="1" thickBot="1" x14ac:dyDescent="0.25">
      <c r="C54" s="92" t="s">
        <v>1997</v>
      </c>
      <c r="D54" s="207" t="s">
        <v>1676</v>
      </c>
      <c r="E54" s="48"/>
      <c r="F54" s="47"/>
      <c r="G54" s="47" cm="1">
        <f t="array" ref="G54">SUM(Tabela178[[#This Row],[RAL 1023]:[Custom made colour (7% add price)]]*Tabela178[[#This Row],[PCS BY PACKS]])</f>
        <v>0</v>
      </c>
      <c r="H54" s="47">
        <v>4</v>
      </c>
      <c r="I54" s="224">
        <v>435</v>
      </c>
      <c r="J54" s="224">
        <f>ROUNDUP(Tabela178[[#This Row],[PRICE]]*(1+PRICES!$C$5),0)</f>
        <v>522</v>
      </c>
      <c r="K54" s="49"/>
      <c r="L54" s="49">
        <f>Tabela178[[#This Row],[PRICE]]*Tabela178[[#This Row],[DISCOUNT per piece '[%']]]</f>
        <v>0</v>
      </c>
      <c r="M54" s="49">
        <f>Tabela178[[#This Row],[PRICE]]*(1-Tabela178[[#This Row],[DISCOUNT per piece '[%']]])</f>
        <v>435</v>
      </c>
      <c r="N54" s="49">
        <f>Tabela178[[#This Row],[PCS]]*Tabela178[[#This Row],[PROMOTIONAL PRICE]]</f>
        <v>0</v>
      </c>
      <c r="O54" s="498" cm="1">
        <f t="array" ref="O54">ROUNDUP(Tabela178[[#This Row],[NEW PRICE]]*eurofxref_daily[],2)</f>
        <v>839.8</v>
      </c>
      <c r="P54" s="506">
        <f>Tabela178[[#This Row],[CAD PRICE]]*SUM(S54:AC54)</f>
        <v>0</v>
      </c>
      <c r="Q54" s="62" cm="1">
        <f t="array" ref="Q54">SUM(Tabela178[[#This Row],[RAL 1023]:[Custom made colour (7% add price)]]*Tabela178[[#This Row],[PCS BY PACKS]])</f>
        <v>0</v>
      </c>
      <c r="R54" s="128">
        <f t="shared" si="3"/>
        <v>0</v>
      </c>
      <c r="S54" s="482"/>
      <c r="T54" s="486"/>
      <c r="U54" s="466"/>
      <c r="V54" s="435"/>
      <c r="W54" s="467"/>
      <c r="X54" s="468"/>
      <c r="Y54" s="436"/>
      <c r="Z54" s="470"/>
      <c r="AA54" s="469"/>
      <c r="AB54" s="449"/>
      <c r="AC54" s="223"/>
      <c r="AD54" s="221"/>
      <c r="AE54" s="30"/>
      <c r="AF54" s="30"/>
      <c r="AG54" s="30"/>
      <c r="AH54" s="30"/>
      <c r="AI54" s="30"/>
    </row>
    <row r="55" spans="2:35" ht="12" customHeight="1" thickBot="1" x14ac:dyDescent="0.25">
      <c r="C55" s="92" t="s">
        <v>1998</v>
      </c>
      <c r="D55" s="207" t="s">
        <v>1677</v>
      </c>
      <c r="E55" s="48"/>
      <c r="F55" s="47">
        <v>13.5</v>
      </c>
      <c r="G55" s="47" cm="1">
        <f t="array" ref="G55">SUM(Tabela178[[#This Row],[RAL 1023]:[Custom made colour (7% add price)]]*Tabela178[[#This Row],[PCS BY PACKS]])</f>
        <v>0</v>
      </c>
      <c r="H55" s="47">
        <v>4</v>
      </c>
      <c r="I55" s="224">
        <v>285</v>
      </c>
      <c r="J55" s="224">
        <f>ROUNDUP(Tabela178[[#This Row],[PRICE]]*(1+PRICES!$C$5),0)</f>
        <v>342</v>
      </c>
      <c r="K55" s="49"/>
      <c r="L55" s="49">
        <f>Tabela178[[#This Row],[PRICE]]*Tabela178[[#This Row],[DISCOUNT per piece '[%']]]</f>
        <v>0</v>
      </c>
      <c r="M55" s="49">
        <f>Tabela178[[#This Row],[PRICE]]*(1-Tabela178[[#This Row],[DISCOUNT per piece '[%']]])</f>
        <v>285</v>
      </c>
      <c r="N55" s="49">
        <f>Tabela178[[#This Row],[PCS]]*Tabela178[[#This Row],[PROMOTIONAL PRICE]]</f>
        <v>0</v>
      </c>
      <c r="O55" s="498" cm="1">
        <f t="array" ref="O55">ROUNDUP(Tabela178[[#This Row],[NEW PRICE]]*eurofxref_daily[],2)</f>
        <v>550.21</v>
      </c>
      <c r="P55" s="506">
        <f>Tabela178[[#This Row],[CAD PRICE]]*SUM(S55:AC55)</f>
        <v>0</v>
      </c>
      <c r="Q55" s="62" cm="1">
        <f t="array" ref="Q55">SUM(Tabela178[[#This Row],[RAL 1023]:[Custom made colour (7% add price)]]*Tabela178[[#This Row],[PCS BY PACKS]])</f>
        <v>0</v>
      </c>
      <c r="R55" s="128">
        <f t="shared" si="3"/>
        <v>0</v>
      </c>
      <c r="S55" s="482"/>
      <c r="T55" s="486"/>
      <c r="U55" s="466"/>
      <c r="V55" s="435"/>
      <c r="W55" s="467"/>
      <c r="X55" s="468"/>
      <c r="Y55" s="436"/>
      <c r="Z55" s="470"/>
      <c r="AA55" s="469"/>
      <c r="AB55" s="449"/>
      <c r="AC55" s="223"/>
      <c r="AD55" s="221"/>
      <c r="AE55" s="30"/>
      <c r="AF55" s="30"/>
      <c r="AG55" s="30"/>
      <c r="AH55" s="30"/>
      <c r="AI55" s="30"/>
    </row>
    <row r="56" spans="2:35" ht="12" customHeight="1" thickBot="1" x14ac:dyDescent="0.25">
      <c r="C56" s="92" t="s">
        <v>1999</v>
      </c>
      <c r="D56" s="207" t="s">
        <v>1678</v>
      </c>
      <c r="E56" s="48"/>
      <c r="F56" s="47">
        <v>17.5</v>
      </c>
      <c r="G56" s="47" cm="1">
        <f t="array" ref="G56">SUM(Tabela178[[#This Row],[RAL 1023]:[Custom made colour (7% add price)]]*Tabela178[[#This Row],[PCS BY PACKS]])</f>
        <v>0</v>
      </c>
      <c r="H56" s="47">
        <v>5</v>
      </c>
      <c r="I56" s="224">
        <v>393</v>
      </c>
      <c r="J56" s="224">
        <f>ROUNDUP(Tabela178[[#This Row],[PRICE]]*(1+PRICES!$C$5),0)</f>
        <v>472</v>
      </c>
      <c r="K56" s="49"/>
      <c r="L56" s="49">
        <f>Tabela178[[#This Row],[PRICE]]*Tabela178[[#This Row],[DISCOUNT per piece '[%']]]</f>
        <v>0</v>
      </c>
      <c r="M56" s="49">
        <f>Tabela178[[#This Row],[PRICE]]*(1-Tabela178[[#This Row],[DISCOUNT per piece '[%']]])</f>
        <v>393</v>
      </c>
      <c r="N56" s="49">
        <f>Tabela178[[#This Row],[PCS]]*Tabela178[[#This Row],[PROMOTIONAL PRICE]]</f>
        <v>0</v>
      </c>
      <c r="O56" s="498" cm="1">
        <f t="array" ref="O56">ROUNDUP(Tabela178[[#This Row],[NEW PRICE]]*eurofxref_daily[],2)</f>
        <v>759.36</v>
      </c>
      <c r="P56" s="506">
        <f>Tabela178[[#This Row],[CAD PRICE]]*SUM(S56:AC56)</f>
        <v>0</v>
      </c>
      <c r="Q56" s="62" cm="1">
        <f t="array" ref="Q56">SUM(Tabela178[[#This Row],[RAL 1023]:[Custom made colour (7% add price)]]*Tabela178[[#This Row],[PCS BY PACKS]])</f>
        <v>0</v>
      </c>
      <c r="R56" s="128">
        <f t="shared" si="3"/>
        <v>0</v>
      </c>
      <c r="S56" s="482"/>
      <c r="T56" s="486"/>
      <c r="U56" s="466"/>
      <c r="V56" s="435"/>
      <c r="W56" s="467"/>
      <c r="X56" s="468"/>
      <c r="Y56" s="436"/>
      <c r="Z56" s="470"/>
      <c r="AA56" s="469"/>
      <c r="AB56" s="449"/>
      <c r="AC56" s="223"/>
      <c r="AD56" s="221"/>
      <c r="AE56" s="30"/>
      <c r="AF56" s="30"/>
      <c r="AG56" s="30"/>
      <c r="AH56" s="30"/>
      <c r="AI56" s="30"/>
    </row>
    <row r="57" spans="2:35" ht="12" customHeight="1" thickBot="1" x14ac:dyDescent="0.25">
      <c r="C57" s="92" t="s">
        <v>2000</v>
      </c>
      <c r="D57" s="207" t="s">
        <v>1679</v>
      </c>
      <c r="E57" s="48"/>
      <c r="F57" s="47"/>
      <c r="G57" s="47" cm="1">
        <f t="array" ref="G57">SUM(Tabela178[[#This Row],[RAL 1023]:[Custom made colour (7% add price)]]*Tabela178[[#This Row],[PCS BY PACKS]])</f>
        <v>0</v>
      </c>
      <c r="H57" s="47">
        <v>4</v>
      </c>
      <c r="I57" s="224">
        <v>382</v>
      </c>
      <c r="J57" s="224">
        <f>ROUNDUP(Tabela178[[#This Row],[PRICE]]*(1+PRICES!$C$5),0)</f>
        <v>459</v>
      </c>
      <c r="K57" s="49"/>
      <c r="L57" s="49">
        <f>Tabela178[[#This Row],[PRICE]]*Tabela178[[#This Row],[DISCOUNT per piece '[%']]]</f>
        <v>0</v>
      </c>
      <c r="M57" s="49">
        <f>Tabela178[[#This Row],[PRICE]]*(1-Tabela178[[#This Row],[DISCOUNT per piece '[%']]])</f>
        <v>382</v>
      </c>
      <c r="N57" s="49">
        <f>Tabela178[[#This Row],[PCS]]*Tabela178[[#This Row],[PROMOTIONAL PRICE]]</f>
        <v>0</v>
      </c>
      <c r="O57" s="498" cm="1">
        <f t="array" ref="O57">ROUNDUP(Tabela178[[#This Row],[NEW PRICE]]*eurofxref_daily[],2)</f>
        <v>738.43999999999994</v>
      </c>
      <c r="P57" s="506">
        <f>Tabela178[[#This Row],[CAD PRICE]]*SUM(S57:AC57)</f>
        <v>0</v>
      </c>
      <c r="Q57" s="62" cm="1">
        <f t="array" ref="Q57">SUM(Tabela178[[#This Row],[RAL 1023]:[Custom made colour (7% add price)]]*Tabela178[[#This Row],[PCS BY PACKS]])</f>
        <v>0</v>
      </c>
      <c r="R57" s="128">
        <f t="shared" si="3"/>
        <v>0</v>
      </c>
      <c r="S57" s="482"/>
      <c r="T57" s="486"/>
      <c r="U57" s="466"/>
      <c r="V57" s="435"/>
      <c r="W57" s="467"/>
      <c r="X57" s="468"/>
      <c r="Y57" s="436"/>
      <c r="Z57" s="470"/>
      <c r="AA57" s="469"/>
      <c r="AB57" s="449"/>
      <c r="AC57" s="223"/>
      <c r="AD57" s="221"/>
      <c r="AE57" s="30"/>
      <c r="AF57" s="30"/>
      <c r="AG57" s="30"/>
      <c r="AH57" s="30"/>
      <c r="AI57" s="30"/>
    </row>
    <row r="58" spans="2:35" ht="12" customHeight="1" thickBot="1" x14ac:dyDescent="0.25">
      <c r="C58" s="92" t="s">
        <v>2001</v>
      </c>
      <c r="D58" s="207" t="s">
        <v>1680</v>
      </c>
      <c r="E58" s="48"/>
      <c r="F58" s="47"/>
      <c r="G58" s="47" cm="1">
        <f t="array" ref="G58">SUM(Tabela178[[#This Row],[RAL 1023]:[Custom made colour (7% add price)]]*Tabela178[[#This Row],[PCS BY PACKS]])</f>
        <v>0</v>
      </c>
      <c r="H58" s="47">
        <v>4</v>
      </c>
      <c r="I58" s="224">
        <v>318</v>
      </c>
      <c r="J58" s="224">
        <f>ROUNDUP(Tabela178[[#This Row],[PRICE]]*(1+PRICES!$C$5),0)</f>
        <v>382</v>
      </c>
      <c r="K58" s="49"/>
      <c r="L58" s="49">
        <f>Tabela178[[#This Row],[PRICE]]*Tabela178[[#This Row],[DISCOUNT per piece '[%']]]</f>
        <v>0</v>
      </c>
      <c r="M58" s="49">
        <f>Tabela178[[#This Row],[PRICE]]*(1-Tabela178[[#This Row],[DISCOUNT per piece '[%']]])</f>
        <v>318</v>
      </c>
      <c r="N58" s="49">
        <f>Tabela178[[#This Row],[PCS]]*Tabela178[[#This Row],[PROMOTIONAL PRICE]]</f>
        <v>0</v>
      </c>
      <c r="O58" s="498" cm="1">
        <f t="array" ref="O58">ROUNDUP(Tabela178[[#This Row],[NEW PRICE]]*eurofxref_daily[],2)</f>
        <v>614.56999999999994</v>
      </c>
      <c r="P58" s="506">
        <f>Tabela178[[#This Row],[CAD PRICE]]*SUM(S58:AC58)</f>
        <v>0</v>
      </c>
      <c r="Q58" s="62" cm="1">
        <f t="array" ref="Q58">SUM(Tabela178[[#This Row],[RAL 1023]:[Custom made colour (7% add price)]]*Tabela178[[#This Row],[PCS BY PACKS]])</f>
        <v>0</v>
      </c>
      <c r="R58" s="128">
        <f t="shared" si="3"/>
        <v>0</v>
      </c>
      <c r="S58" s="482"/>
      <c r="T58" s="486"/>
      <c r="U58" s="466"/>
      <c r="V58" s="435"/>
      <c r="W58" s="467"/>
      <c r="X58" s="468"/>
      <c r="Y58" s="436"/>
      <c r="Z58" s="470"/>
      <c r="AA58" s="469"/>
      <c r="AB58" s="449"/>
      <c r="AC58" s="223"/>
      <c r="AD58" s="221"/>
      <c r="AE58" s="30"/>
      <c r="AF58" s="30"/>
      <c r="AG58" s="30"/>
      <c r="AH58" s="30"/>
      <c r="AI58" s="30"/>
    </row>
    <row r="59" spans="2:35" ht="12" customHeight="1" thickBot="1" x14ac:dyDescent="0.25">
      <c r="C59" s="151" t="s">
        <v>1975</v>
      </c>
      <c r="D59" s="126"/>
      <c r="E59" s="124"/>
      <c r="F59" s="124"/>
      <c r="G59" s="401" cm="1">
        <f t="array" ref="G59">SUM(Tabela178[[#This Row],[RAL 1023]:[Custom made colour (7% add price)]]*Tabela178[[#This Row],[PCS BY PACKS]])</f>
        <v>0</v>
      </c>
      <c r="H59" s="401"/>
      <c r="I59" s="358"/>
      <c r="J59" s="124"/>
      <c r="K59" s="124"/>
      <c r="L59" s="124"/>
      <c r="M59" s="124"/>
      <c r="N59" s="215"/>
      <c r="O59" s="124"/>
      <c r="P59" s="124"/>
      <c r="Q59" s="420"/>
      <c r="R59" s="140"/>
      <c r="S59" s="80"/>
      <c r="T59" s="80"/>
      <c r="U59" s="80"/>
      <c r="V59" s="80"/>
      <c r="W59" s="80"/>
      <c r="X59" s="80"/>
      <c r="Y59" s="80"/>
      <c r="Z59" s="80"/>
      <c r="AA59" s="457"/>
      <c r="AB59" s="454"/>
      <c r="AC59" s="81"/>
      <c r="AD59" s="152"/>
      <c r="AE59" s="30"/>
      <c r="AF59" s="30"/>
      <c r="AG59" s="30"/>
      <c r="AH59" s="30"/>
      <c r="AI59" s="30"/>
    </row>
    <row r="60" spans="2:35" ht="13.5" thickBot="1" x14ac:dyDescent="0.25">
      <c r="C60" s="90" t="s">
        <v>2002</v>
      </c>
      <c r="D60" s="204" t="s">
        <v>1976</v>
      </c>
      <c r="E60" s="48"/>
      <c r="F60" s="47"/>
      <c r="G60" s="47" cm="1">
        <f t="array" ref="G60">SUM(Tabela178[[#This Row],[RAL 1023]:[Custom made colour (7% add price)]]*Tabela178[[#This Row],[PCS BY PACKS]])</f>
        <v>0</v>
      </c>
      <c r="H60" s="47">
        <v>7</v>
      </c>
      <c r="I60" s="49">
        <v>820</v>
      </c>
      <c r="J60" s="224">
        <f>ROUNDUP(Tabela178[[#This Row],[PRICE]]*(1+PRICES!$C$5),0)</f>
        <v>984</v>
      </c>
      <c r="K60" s="49"/>
      <c r="L60" s="49">
        <f>Tabela178[[#This Row],[PRICE]]*Tabela178[[#This Row],[DISCOUNT per piece '[%']]]</f>
        <v>0</v>
      </c>
      <c r="M60" s="49">
        <f>Tabela178[[#This Row],[PRICE]]*(1-Tabela178[[#This Row],[DISCOUNT per piece '[%']]])</f>
        <v>820</v>
      </c>
      <c r="N60" s="49">
        <f>Tabela178[[#This Row],[PCS]]*Tabela178[[#This Row],[PROMOTIONAL PRICE]]</f>
        <v>0</v>
      </c>
      <c r="O60" s="498" cm="1">
        <f t="array" ref="O60">ROUNDUP(Tabela178[[#This Row],[NEW PRICE]]*eurofxref_daily[],2)</f>
        <v>1583.06</v>
      </c>
      <c r="P60" s="506">
        <f>Tabela178[[#This Row],[CAD PRICE]]*SUM(S60:AC60)</f>
        <v>0</v>
      </c>
      <c r="Q60" s="62" cm="1">
        <f t="array" ref="Q60">SUM(Tabela178[[#This Row],[RAL 1023]:[Custom made colour (7% add price)]]*Tabela178[[#This Row],[PCS BY PACKS]])</f>
        <v>0</v>
      </c>
      <c r="R60" s="150">
        <f>Q60*F60</f>
        <v>0</v>
      </c>
      <c r="S60" s="482"/>
      <c r="T60" s="486"/>
      <c r="U60" s="466"/>
      <c r="V60" s="435"/>
      <c r="W60" s="467"/>
      <c r="X60" s="468"/>
      <c r="Y60" s="436"/>
      <c r="Z60" s="470"/>
      <c r="AA60" s="469"/>
      <c r="AB60" s="449"/>
      <c r="AC60" s="222"/>
      <c r="AD60" s="152"/>
      <c r="AE60" s="30"/>
      <c r="AF60" s="30"/>
      <c r="AG60" s="30"/>
      <c r="AH60" s="30"/>
      <c r="AI60" s="30"/>
    </row>
    <row r="61" spans="2:35" ht="12.75" x14ac:dyDescent="0.2">
      <c r="C61" s="90" t="s">
        <v>2003</v>
      </c>
      <c r="D61" s="204" t="s">
        <v>1977</v>
      </c>
      <c r="E61" s="48"/>
      <c r="F61" s="47"/>
      <c r="G61" s="47" cm="1">
        <f t="array" ref="G61">SUM(Tabela178[[#This Row],[RAL 1023]:[Custom made colour (7% add price)]]*Tabela178[[#This Row],[PCS BY PACKS]])</f>
        <v>0</v>
      </c>
      <c r="H61" s="47">
        <v>7</v>
      </c>
      <c r="I61" s="49">
        <v>520</v>
      </c>
      <c r="J61" s="224">
        <f>ROUNDUP(Tabela178[[#This Row],[PRICE]]*(1+PRICES!$C$5),0)</f>
        <v>624</v>
      </c>
      <c r="K61" s="49"/>
      <c r="L61" s="49">
        <f>Tabela178[[#This Row],[PRICE]]*Tabela178[[#This Row],[DISCOUNT per piece '[%']]]</f>
        <v>0</v>
      </c>
      <c r="M61" s="49">
        <f>Tabela178[[#This Row],[PRICE]]*(1-Tabela178[[#This Row],[DISCOUNT per piece '[%']]])</f>
        <v>520</v>
      </c>
      <c r="N61" s="49">
        <f>Tabela178[[#This Row],[PCS]]*Tabela178[[#This Row],[PROMOTIONAL PRICE]]</f>
        <v>0</v>
      </c>
      <c r="O61" s="498" cm="1">
        <f t="array" ref="O61">ROUNDUP(Tabela178[[#This Row],[NEW PRICE]]*eurofxref_daily[],2)</f>
        <v>1003.9</v>
      </c>
      <c r="P61" s="506">
        <f>Tabela178[[#This Row],[CAD PRICE]]*SUM(S61:AC61)</f>
        <v>0</v>
      </c>
      <c r="Q61" s="62" cm="1">
        <f t="array" ref="Q61">SUM(Tabela178[[#This Row],[RAL 1023]:[Custom made colour (7% add price)]]*Tabela178[[#This Row],[PCS BY PACKS]])</f>
        <v>0</v>
      </c>
      <c r="R61" s="150">
        <f>Q61*F61</f>
        <v>0</v>
      </c>
      <c r="S61" s="482"/>
      <c r="T61" s="486"/>
      <c r="U61" s="466"/>
      <c r="V61" s="435"/>
      <c r="W61" s="467"/>
      <c r="X61" s="468"/>
      <c r="Y61" s="436"/>
      <c r="Z61" s="470"/>
      <c r="AA61" s="469"/>
      <c r="AB61" s="449"/>
      <c r="AC61" s="222"/>
      <c r="AD61" s="152"/>
      <c r="AE61" s="30"/>
      <c r="AF61" s="30"/>
      <c r="AG61" s="30"/>
      <c r="AH61" s="30"/>
      <c r="AI61" s="30"/>
    </row>
    <row r="62" spans="2:35" ht="11.25" x14ac:dyDescent="0.2">
      <c r="AE62" s="30"/>
      <c r="AF62" s="30"/>
      <c r="AG62" s="30"/>
      <c r="AH62" s="30"/>
      <c r="AI62" s="30"/>
    </row>
    <row r="63" spans="2:35" ht="11.25" x14ac:dyDescent="0.2">
      <c r="AE63" s="30"/>
      <c r="AF63" s="30"/>
      <c r="AG63" s="30"/>
      <c r="AH63" s="30"/>
      <c r="AI63" s="30"/>
    </row>
    <row r="64" spans="2:35" ht="11.25" x14ac:dyDescent="0.2">
      <c r="AE64" s="30"/>
      <c r="AF64" s="30"/>
      <c r="AG64" s="30"/>
      <c r="AH64" s="30"/>
      <c r="AI64" s="30"/>
    </row>
    <row r="65" spans="31:35" ht="11.25" x14ac:dyDescent="0.2">
      <c r="AE65" s="30"/>
      <c r="AF65" s="30"/>
      <c r="AG65" s="30"/>
      <c r="AH65" s="30"/>
      <c r="AI65" s="30"/>
    </row>
    <row r="66" spans="31:35" ht="11.25" x14ac:dyDescent="0.2">
      <c r="AE66" s="30"/>
      <c r="AF66" s="30"/>
      <c r="AG66" s="30"/>
      <c r="AH66" s="30"/>
      <c r="AI66" s="30"/>
    </row>
    <row r="67" spans="31:35" x14ac:dyDescent="0.25">
      <c r="AE67" s="30"/>
      <c r="AG67" s="30"/>
      <c r="AH67" s="30"/>
      <c r="AI67" s="30"/>
    </row>
    <row r="68" spans="31:35" ht="11.25" x14ac:dyDescent="0.2">
      <c r="AE68" s="30"/>
      <c r="AF68" s="30"/>
      <c r="AG68" s="30"/>
      <c r="AH68" s="30"/>
      <c r="AI68" s="30"/>
    </row>
    <row r="69" spans="31:35" ht="11.25" x14ac:dyDescent="0.2">
      <c r="AE69" s="30"/>
      <c r="AF69" s="30"/>
      <c r="AG69" s="30"/>
      <c r="AH69" s="30"/>
      <c r="AI69" s="30"/>
    </row>
    <row r="70" spans="31:35" ht="11.25" x14ac:dyDescent="0.2">
      <c r="AE70" s="30"/>
      <c r="AF70" s="30"/>
      <c r="AG70" s="30"/>
      <c r="AH70" s="30"/>
      <c r="AI70" s="30"/>
    </row>
    <row r="71" spans="31:35" ht="11.25" x14ac:dyDescent="0.2">
      <c r="AE71" s="30"/>
      <c r="AF71" s="30"/>
      <c r="AG71" s="30"/>
      <c r="AH71" s="30"/>
      <c r="AI71" s="30"/>
    </row>
    <row r="72" spans="31:35" ht="11.25" x14ac:dyDescent="0.2">
      <c r="AE72" s="30"/>
      <c r="AF72" s="30"/>
      <c r="AG72" s="30"/>
      <c r="AH72" s="30"/>
      <c r="AI72" s="30"/>
    </row>
    <row r="73" spans="31:35" ht="11.25" x14ac:dyDescent="0.2">
      <c r="AE73" s="30"/>
      <c r="AF73" s="30"/>
      <c r="AG73" s="30"/>
      <c r="AH73" s="30"/>
      <c r="AI73" s="30"/>
    </row>
    <row r="74" spans="31:35" ht="11.25" x14ac:dyDescent="0.2">
      <c r="AE74" s="30"/>
      <c r="AF74" s="30"/>
      <c r="AG74" s="30"/>
      <c r="AH74" s="30"/>
      <c r="AI74" s="30"/>
    </row>
    <row r="75" spans="31:35" ht="11.25" x14ac:dyDescent="0.2">
      <c r="AE75" s="30"/>
      <c r="AF75" s="30"/>
      <c r="AG75" s="30"/>
      <c r="AH75" s="30"/>
      <c r="AI75" s="30"/>
    </row>
    <row r="76" spans="31:35" ht="11.25" x14ac:dyDescent="0.2">
      <c r="AE76" s="30"/>
      <c r="AF76" s="30"/>
      <c r="AG76" s="30"/>
      <c r="AH76" s="30"/>
      <c r="AI76" s="30"/>
    </row>
    <row r="77" spans="31:35" ht="11.25" x14ac:dyDescent="0.2">
      <c r="AE77" s="30"/>
      <c r="AF77" s="30"/>
      <c r="AG77" s="30"/>
      <c r="AH77" s="30"/>
      <c r="AI77" s="30"/>
    </row>
    <row r="78" spans="31:35" ht="11.25" x14ac:dyDescent="0.2">
      <c r="AE78" s="30"/>
      <c r="AF78" s="30"/>
      <c r="AG78" s="30"/>
      <c r="AH78" s="30"/>
      <c r="AI78" s="30"/>
    </row>
    <row r="79" spans="31:35" ht="11.25" x14ac:dyDescent="0.2">
      <c r="AE79" s="30"/>
      <c r="AF79" s="30"/>
      <c r="AG79" s="30"/>
      <c r="AH79" s="30"/>
      <c r="AI79" s="30"/>
    </row>
    <row r="80" spans="31:35" ht="11.25" x14ac:dyDescent="0.2">
      <c r="AE80" s="30"/>
      <c r="AF80" s="30"/>
      <c r="AG80" s="30"/>
      <c r="AH80" s="30"/>
      <c r="AI80" s="30"/>
    </row>
    <row r="81" spans="31:35" ht="11.25" x14ac:dyDescent="0.2">
      <c r="AE81" s="30"/>
      <c r="AF81" s="30"/>
      <c r="AG81" s="30"/>
      <c r="AH81" s="30"/>
      <c r="AI81" s="30"/>
    </row>
    <row r="82" spans="31:35" ht="11.25" x14ac:dyDescent="0.2">
      <c r="AE82" s="30"/>
      <c r="AF82" s="30"/>
      <c r="AG82" s="30"/>
      <c r="AH82" s="30"/>
      <c r="AI82" s="30"/>
    </row>
    <row r="83" spans="31:35" ht="11.25" x14ac:dyDescent="0.2">
      <c r="AE83" s="30"/>
      <c r="AF83" s="30"/>
      <c r="AG83" s="30"/>
      <c r="AH83" s="30"/>
      <c r="AI83" s="30"/>
    </row>
    <row r="84" spans="31:35" ht="11.25" x14ac:dyDescent="0.2">
      <c r="AE84" s="30"/>
      <c r="AF84" s="30"/>
      <c r="AG84" s="30"/>
      <c r="AH84" s="30"/>
      <c r="AI84" s="30"/>
    </row>
    <row r="85" spans="31:35" ht="11.25" x14ac:dyDescent="0.2">
      <c r="AE85" s="30"/>
      <c r="AF85" s="30"/>
      <c r="AG85" s="30"/>
      <c r="AH85" s="30"/>
      <c r="AI85" s="30"/>
    </row>
    <row r="86" spans="31:35" ht="11.25" x14ac:dyDescent="0.2">
      <c r="AE86" s="30"/>
      <c r="AF86" s="30"/>
      <c r="AG86" s="30"/>
      <c r="AH86" s="30"/>
      <c r="AI86" s="30"/>
    </row>
    <row r="87" spans="31:35" ht="11.25" x14ac:dyDescent="0.2">
      <c r="AE87" s="30"/>
      <c r="AF87" s="30"/>
      <c r="AG87" s="30"/>
      <c r="AH87" s="30"/>
      <c r="AI87" s="30"/>
    </row>
    <row r="88" spans="31:35" ht="11.25" x14ac:dyDescent="0.2">
      <c r="AE88" s="30"/>
      <c r="AF88" s="30"/>
      <c r="AG88" s="30"/>
      <c r="AH88" s="30"/>
      <c r="AI88" s="30"/>
    </row>
    <row r="89" spans="31:35" ht="11.25" x14ac:dyDescent="0.2">
      <c r="AE89" s="30"/>
      <c r="AF89" s="30"/>
      <c r="AG89" s="30"/>
      <c r="AH89" s="30"/>
      <c r="AI89" s="30"/>
    </row>
    <row r="90" spans="31:35" ht="11.25" x14ac:dyDescent="0.2">
      <c r="AE90" s="30"/>
      <c r="AF90" s="30"/>
      <c r="AG90" s="30"/>
      <c r="AH90" s="30"/>
      <c r="AI90" s="30"/>
    </row>
    <row r="91" spans="31:35" ht="11.25" x14ac:dyDescent="0.2">
      <c r="AE91" s="30"/>
      <c r="AF91" s="30"/>
      <c r="AG91" s="30"/>
      <c r="AH91" s="30"/>
      <c r="AI91" s="30"/>
    </row>
    <row r="92" spans="31:35" ht="11.25" x14ac:dyDescent="0.2">
      <c r="AE92" s="30"/>
      <c r="AF92" s="30"/>
      <c r="AG92" s="30"/>
      <c r="AH92" s="30"/>
      <c r="AI92" s="30"/>
    </row>
    <row r="93" spans="31:35" ht="11.25" x14ac:dyDescent="0.2">
      <c r="AE93" s="30"/>
      <c r="AF93" s="30"/>
      <c r="AG93" s="30"/>
      <c r="AH93" s="30"/>
      <c r="AI93" s="30"/>
    </row>
    <row r="94" spans="31:35" ht="11.25" x14ac:dyDescent="0.2">
      <c r="AE94" s="30"/>
      <c r="AF94" s="30"/>
      <c r="AG94" s="30"/>
      <c r="AH94" s="30"/>
      <c r="AI94" s="30"/>
    </row>
    <row r="95" spans="31:35" ht="11.25" x14ac:dyDescent="0.2">
      <c r="AE95" s="30"/>
      <c r="AF95" s="30"/>
      <c r="AG95" s="30"/>
      <c r="AH95" s="30"/>
      <c r="AI95" s="30"/>
    </row>
    <row r="96" spans="31:35" ht="11.25" x14ac:dyDescent="0.2">
      <c r="AE96" s="30"/>
      <c r="AF96" s="30"/>
      <c r="AG96" s="30"/>
      <c r="AH96" s="30"/>
      <c r="AI96" s="30"/>
    </row>
    <row r="97" spans="31:35" ht="11.25" x14ac:dyDescent="0.2">
      <c r="AE97" s="30"/>
      <c r="AF97" s="30"/>
      <c r="AG97" s="30"/>
      <c r="AH97" s="30"/>
      <c r="AI97" s="30"/>
    </row>
    <row r="98" spans="31:35" ht="11.25" x14ac:dyDescent="0.2">
      <c r="AE98" s="30"/>
      <c r="AF98" s="30"/>
      <c r="AG98" s="30"/>
      <c r="AH98" s="30"/>
      <c r="AI98" s="30"/>
    </row>
    <row r="99" spans="31:35" ht="11.25" x14ac:dyDescent="0.2">
      <c r="AE99" s="30"/>
      <c r="AF99" s="30"/>
      <c r="AG99" s="30"/>
      <c r="AH99" s="30"/>
      <c r="AI99" s="30"/>
    </row>
    <row r="100" spans="31:35" ht="11.25" x14ac:dyDescent="0.2">
      <c r="AE100" s="30"/>
      <c r="AF100" s="30"/>
      <c r="AG100" s="30"/>
      <c r="AH100" s="30"/>
      <c r="AI100" s="30"/>
    </row>
    <row r="101" spans="31:35" ht="11.25" x14ac:dyDescent="0.2">
      <c r="AE101" s="30"/>
      <c r="AF101" s="30"/>
      <c r="AG101" s="30"/>
      <c r="AH101" s="30"/>
      <c r="AI101" s="30"/>
    </row>
    <row r="102" spans="31:35" ht="11.25" x14ac:dyDescent="0.2">
      <c r="AE102" s="30"/>
      <c r="AF102" s="30"/>
      <c r="AG102" s="30"/>
      <c r="AH102" s="30"/>
      <c r="AI102" s="30"/>
    </row>
    <row r="103" spans="31:35" ht="11.25" x14ac:dyDescent="0.2">
      <c r="AE103" s="30"/>
      <c r="AF103" s="30"/>
      <c r="AG103" s="30"/>
      <c r="AH103" s="30"/>
      <c r="AI103" s="30"/>
    </row>
    <row r="104" spans="31:35" ht="11.25" x14ac:dyDescent="0.2">
      <c r="AE104" s="30"/>
      <c r="AF104" s="30"/>
      <c r="AG104" s="30"/>
      <c r="AH104" s="30"/>
      <c r="AI104" s="30"/>
    </row>
    <row r="105" spans="31:35" ht="11.25" x14ac:dyDescent="0.2">
      <c r="AE105" s="30"/>
      <c r="AF105" s="30"/>
      <c r="AG105" s="30"/>
      <c r="AH105" s="30"/>
      <c r="AI105" s="30"/>
    </row>
    <row r="106" spans="31:35" ht="11.25" x14ac:dyDescent="0.2">
      <c r="AE106" s="30"/>
      <c r="AF106" s="30"/>
      <c r="AG106" s="30"/>
      <c r="AH106" s="30"/>
      <c r="AI106" s="30"/>
    </row>
    <row r="107" spans="31:35" ht="11.25" x14ac:dyDescent="0.2">
      <c r="AE107" s="30"/>
      <c r="AF107" s="30"/>
      <c r="AG107" s="30"/>
      <c r="AH107" s="30"/>
      <c r="AI107" s="30"/>
    </row>
    <row r="108" spans="31:35" ht="11.25" x14ac:dyDescent="0.2">
      <c r="AE108" s="30"/>
      <c r="AF108" s="30"/>
      <c r="AG108" s="30"/>
      <c r="AH108" s="30"/>
      <c r="AI108" s="30"/>
    </row>
    <row r="109" spans="31:35" ht="11.25" x14ac:dyDescent="0.2">
      <c r="AE109" s="30"/>
      <c r="AF109" s="30"/>
      <c r="AG109" s="30"/>
      <c r="AH109" s="30"/>
      <c r="AI109" s="30"/>
    </row>
    <row r="110" spans="31:35" ht="11.25" x14ac:dyDescent="0.2">
      <c r="AE110" s="30"/>
      <c r="AF110" s="30"/>
      <c r="AG110" s="30"/>
      <c r="AH110" s="30"/>
      <c r="AI110" s="30"/>
    </row>
    <row r="111" spans="31:35" ht="11.25" x14ac:dyDescent="0.2">
      <c r="AE111" s="30"/>
      <c r="AF111" s="30"/>
      <c r="AG111" s="30"/>
      <c r="AH111" s="30"/>
      <c r="AI111" s="30"/>
    </row>
    <row r="112" spans="31:35" ht="11.25" x14ac:dyDescent="0.2">
      <c r="AE112" s="30"/>
      <c r="AF112" s="30"/>
      <c r="AG112" s="30"/>
      <c r="AH112" s="30"/>
      <c r="AI112" s="30"/>
    </row>
    <row r="113" spans="31:35" ht="11.25" x14ac:dyDescent="0.2">
      <c r="AE113" s="30"/>
      <c r="AF113" s="30"/>
      <c r="AG113" s="30"/>
      <c r="AH113" s="30"/>
      <c r="AI113" s="30"/>
    </row>
    <row r="114" spans="31:35" ht="11.25" x14ac:dyDescent="0.2">
      <c r="AE114" s="30"/>
      <c r="AF114" s="30"/>
      <c r="AG114" s="30"/>
      <c r="AH114" s="30"/>
      <c r="AI114" s="30"/>
    </row>
    <row r="115" spans="31:35" ht="11.25" x14ac:dyDescent="0.2">
      <c r="AE115" s="30"/>
      <c r="AF115" s="30"/>
      <c r="AG115" s="30"/>
      <c r="AH115" s="30"/>
      <c r="AI115" s="30"/>
    </row>
    <row r="116" spans="31:35" ht="11.25" x14ac:dyDescent="0.2">
      <c r="AE116" s="30"/>
      <c r="AF116" s="30"/>
      <c r="AG116" s="30"/>
      <c r="AH116" s="30"/>
      <c r="AI116" s="30"/>
    </row>
    <row r="117" spans="31:35" ht="11.25" x14ac:dyDescent="0.2">
      <c r="AE117" s="30"/>
      <c r="AF117" s="30"/>
      <c r="AG117" s="30"/>
      <c r="AH117" s="30"/>
      <c r="AI117" s="30"/>
    </row>
    <row r="118" spans="31:35" ht="11.25" x14ac:dyDescent="0.2">
      <c r="AE118" s="30"/>
      <c r="AF118" s="30"/>
      <c r="AG118" s="30"/>
      <c r="AH118" s="30"/>
      <c r="AI118" s="30"/>
    </row>
    <row r="119" spans="31:35" ht="11.25" x14ac:dyDescent="0.2">
      <c r="AE119" s="30"/>
      <c r="AF119" s="30"/>
      <c r="AG119" s="30"/>
      <c r="AH119" s="30"/>
      <c r="AI119" s="30"/>
    </row>
    <row r="120" spans="31:35" ht="11.25" x14ac:dyDescent="0.2">
      <c r="AE120" s="30"/>
      <c r="AF120" s="30"/>
      <c r="AG120" s="30"/>
      <c r="AH120" s="30"/>
      <c r="AI120" s="30"/>
    </row>
    <row r="121" spans="31:35" ht="11.25" x14ac:dyDescent="0.2">
      <c r="AE121" s="30"/>
      <c r="AF121" s="30"/>
      <c r="AG121" s="30"/>
      <c r="AH121" s="30"/>
      <c r="AI121" s="30"/>
    </row>
    <row r="122" spans="31:35" ht="11.25" x14ac:dyDescent="0.2">
      <c r="AE122" s="30"/>
      <c r="AF122" s="30"/>
      <c r="AG122" s="30"/>
      <c r="AH122" s="30"/>
      <c r="AI122" s="30"/>
    </row>
    <row r="123" spans="31:35" ht="11.25" x14ac:dyDescent="0.2">
      <c r="AE123" s="30"/>
      <c r="AF123" s="30"/>
      <c r="AG123" s="30"/>
      <c r="AH123" s="30"/>
      <c r="AI123" s="30"/>
    </row>
    <row r="124" spans="31:35" ht="11.25" x14ac:dyDescent="0.2">
      <c r="AE124" s="30"/>
      <c r="AF124" s="30"/>
      <c r="AG124" s="30"/>
      <c r="AH124" s="30"/>
      <c r="AI124" s="30"/>
    </row>
    <row r="125" spans="31:35" ht="11.25" x14ac:dyDescent="0.2">
      <c r="AE125" s="30"/>
      <c r="AF125" s="30"/>
      <c r="AG125" s="30"/>
      <c r="AH125" s="30"/>
      <c r="AI125" s="30"/>
    </row>
    <row r="126" spans="31:35" ht="11.25" x14ac:dyDescent="0.2">
      <c r="AE126" s="30"/>
      <c r="AF126" s="30"/>
      <c r="AG126" s="30"/>
      <c r="AH126" s="30"/>
      <c r="AI126" s="30"/>
    </row>
    <row r="127" spans="31:35" ht="11.25" x14ac:dyDescent="0.2">
      <c r="AE127" s="30"/>
      <c r="AF127" s="30"/>
      <c r="AG127" s="30"/>
      <c r="AH127" s="30"/>
      <c r="AI127" s="30"/>
    </row>
    <row r="128" spans="31:35" ht="11.25" x14ac:dyDescent="0.2">
      <c r="AE128" s="30"/>
      <c r="AF128" s="30"/>
      <c r="AG128" s="30"/>
      <c r="AH128" s="30"/>
      <c r="AI128" s="30"/>
    </row>
    <row r="129" spans="31:35" ht="11.25" x14ac:dyDescent="0.2">
      <c r="AE129" s="30"/>
      <c r="AF129" s="30"/>
      <c r="AG129" s="30"/>
      <c r="AH129" s="30"/>
      <c r="AI129" s="30"/>
    </row>
    <row r="130" spans="31:35" ht="11.25" x14ac:dyDescent="0.2">
      <c r="AE130" s="30"/>
      <c r="AF130" s="30"/>
      <c r="AG130" s="30"/>
      <c r="AH130" s="30"/>
      <c r="AI130" s="30"/>
    </row>
    <row r="131" spans="31:35" ht="11.25" x14ac:dyDescent="0.2">
      <c r="AE131" s="30"/>
      <c r="AF131" s="30"/>
      <c r="AG131" s="30"/>
      <c r="AH131" s="30"/>
      <c r="AI131" s="30"/>
    </row>
    <row r="132" spans="31:35" ht="11.25" x14ac:dyDescent="0.2">
      <c r="AE132" s="30"/>
      <c r="AF132" s="30"/>
      <c r="AG132" s="30"/>
      <c r="AH132" s="30"/>
      <c r="AI132" s="30"/>
    </row>
    <row r="133" spans="31:35" ht="11.25" x14ac:dyDescent="0.2">
      <c r="AE133" s="30"/>
      <c r="AF133" s="30"/>
      <c r="AG133" s="30"/>
      <c r="AH133" s="30"/>
      <c r="AI133" s="30"/>
    </row>
    <row r="134" spans="31:35" ht="11.25" x14ac:dyDescent="0.2">
      <c r="AE134" s="30"/>
      <c r="AF134" s="30"/>
      <c r="AG134" s="30"/>
      <c r="AH134" s="30"/>
      <c r="AI134" s="30"/>
    </row>
    <row r="135" spans="31:35" ht="11.25" x14ac:dyDescent="0.2">
      <c r="AE135" s="30"/>
      <c r="AF135" s="30"/>
      <c r="AG135" s="30"/>
      <c r="AH135" s="30"/>
      <c r="AI135" s="30"/>
    </row>
    <row r="136" spans="31:35" ht="11.25" x14ac:dyDescent="0.2">
      <c r="AE136" s="30"/>
      <c r="AF136" s="30"/>
      <c r="AG136" s="30"/>
      <c r="AH136" s="30"/>
      <c r="AI136" s="30"/>
    </row>
    <row r="137" spans="31:35" ht="11.25" x14ac:dyDescent="0.2">
      <c r="AE137" s="30"/>
      <c r="AF137" s="30"/>
      <c r="AG137" s="30"/>
      <c r="AH137" s="30"/>
      <c r="AI137" s="30"/>
    </row>
    <row r="138" spans="31:35" ht="11.25" x14ac:dyDescent="0.2">
      <c r="AE138" s="30"/>
      <c r="AF138" s="30"/>
      <c r="AG138" s="30"/>
      <c r="AH138" s="30"/>
      <c r="AI138" s="30"/>
    </row>
    <row r="139" spans="31:35" ht="11.25" x14ac:dyDescent="0.2">
      <c r="AE139" s="30"/>
      <c r="AF139" s="30"/>
      <c r="AG139" s="30"/>
      <c r="AH139" s="30"/>
      <c r="AI139" s="30"/>
    </row>
    <row r="140" spans="31:35" ht="11.25" x14ac:dyDescent="0.2">
      <c r="AE140" s="30"/>
      <c r="AF140" s="30"/>
      <c r="AG140" s="30"/>
      <c r="AH140" s="30"/>
      <c r="AI140" s="30"/>
    </row>
    <row r="141" spans="31:35" ht="11.25" x14ac:dyDescent="0.2">
      <c r="AE141" s="30"/>
      <c r="AF141" s="30"/>
      <c r="AG141" s="30"/>
      <c r="AH141" s="30"/>
      <c r="AI141" s="30"/>
    </row>
    <row r="142" spans="31:35" ht="11.25" x14ac:dyDescent="0.2">
      <c r="AE142" s="30"/>
      <c r="AF142" s="30"/>
      <c r="AG142" s="30"/>
      <c r="AH142" s="30"/>
      <c r="AI142" s="30"/>
    </row>
    <row r="143" spans="31:35" ht="11.25" x14ac:dyDescent="0.2">
      <c r="AE143" s="30"/>
      <c r="AF143" s="30"/>
      <c r="AG143" s="30"/>
      <c r="AH143" s="30"/>
      <c r="AI143" s="30"/>
    </row>
    <row r="144" spans="31:35" ht="11.25" x14ac:dyDescent="0.2">
      <c r="AE144" s="30"/>
      <c r="AF144" s="30"/>
      <c r="AG144" s="30"/>
      <c r="AH144" s="30"/>
      <c r="AI144" s="30"/>
    </row>
    <row r="145" spans="29:35" ht="11.25" x14ac:dyDescent="0.2">
      <c r="AE145" s="30"/>
      <c r="AF145" s="30"/>
      <c r="AG145" s="30"/>
      <c r="AH145" s="30"/>
      <c r="AI145" s="30"/>
    </row>
    <row r="146" spans="29:35" ht="11.25" x14ac:dyDescent="0.2">
      <c r="AE146" s="30"/>
      <c r="AF146" s="30"/>
      <c r="AG146" s="30"/>
      <c r="AH146" s="30"/>
      <c r="AI146" s="30"/>
    </row>
    <row r="147" spans="29:35" ht="11.25" x14ac:dyDescent="0.2">
      <c r="AE147" s="30"/>
      <c r="AF147" s="30"/>
      <c r="AG147" s="30"/>
      <c r="AH147" s="30"/>
      <c r="AI147" s="30"/>
    </row>
    <row r="148" spans="29:35" ht="11.25" x14ac:dyDescent="0.2">
      <c r="AE148" s="30"/>
      <c r="AF148" s="30"/>
      <c r="AG148" s="30"/>
      <c r="AH148" s="30"/>
      <c r="AI148" s="30"/>
    </row>
    <row r="149" spans="29:35" ht="11.25" x14ac:dyDescent="0.2">
      <c r="AE149" s="30"/>
      <c r="AF149" s="30"/>
      <c r="AG149" s="30"/>
      <c r="AH149" s="30"/>
      <c r="AI149" s="30"/>
    </row>
    <row r="150" spans="29:35" ht="11.25" x14ac:dyDescent="0.2">
      <c r="AE150" s="30"/>
      <c r="AF150" s="30"/>
      <c r="AG150" s="30"/>
      <c r="AH150" s="30"/>
      <c r="AI150" s="30"/>
    </row>
    <row r="151" spans="29:35" x14ac:dyDescent="0.25">
      <c r="AC151"/>
      <c r="AE151" s="30"/>
      <c r="AF151" s="30"/>
      <c r="AG151" s="30"/>
      <c r="AH151" s="30"/>
      <c r="AI151" s="30"/>
    </row>
    <row r="152" spans="29:35" ht="11.25" x14ac:dyDescent="0.2">
      <c r="AE152" s="30"/>
      <c r="AF152" s="30"/>
      <c r="AG152" s="30"/>
      <c r="AH152" s="30"/>
      <c r="AI152" s="30"/>
    </row>
    <row r="153" spans="29:35" ht="11.25" x14ac:dyDescent="0.2">
      <c r="AE153" s="30"/>
      <c r="AF153" s="30"/>
      <c r="AG153" s="30"/>
      <c r="AH153" s="30"/>
      <c r="AI153" s="30"/>
    </row>
    <row r="154" spans="29:35" x14ac:dyDescent="0.25">
      <c r="AD154"/>
      <c r="AE154" s="30"/>
      <c r="AF154" s="30"/>
      <c r="AG154" s="30"/>
      <c r="AH154" s="30"/>
      <c r="AI154" s="30"/>
    </row>
    <row r="155" spans="29:35" ht="11.25" x14ac:dyDescent="0.2">
      <c r="AE155" s="30"/>
      <c r="AF155" s="30"/>
      <c r="AG155" s="30"/>
      <c r="AH155" s="30"/>
      <c r="AI155" s="30"/>
    </row>
    <row r="156" spans="29:35" ht="11.25" x14ac:dyDescent="0.2">
      <c r="AE156" s="30"/>
      <c r="AF156" s="30"/>
      <c r="AG156" s="30"/>
      <c r="AH156" s="30"/>
      <c r="AI156" s="30"/>
    </row>
    <row r="157" spans="29:35" x14ac:dyDescent="0.25">
      <c r="AG157" s="30"/>
      <c r="AH157" s="30"/>
      <c r="AI157" s="30"/>
    </row>
  </sheetData>
  <sheetProtection algorithmName="SHA-512" hashValue="menRDyJOiZPZ55gZUupDphRSW5EK27vLP+QjqnOzs4CCXg7ZsbRST4gsb4YtC5SnT/JWUU1XU/ZtFq89wy2G5A==" saltValue="S+MI0t7UXThBF+smOl4kWg==" spinCount="100000" sheet="1" objects="1" scenarios="1"/>
  <mergeCells count="6">
    <mergeCell ref="E3:F3"/>
    <mergeCell ref="E4:F4"/>
    <mergeCell ref="AA2:AD2"/>
    <mergeCell ref="C4:D4"/>
    <mergeCell ref="C3:D3"/>
    <mergeCell ref="P4:Q4"/>
  </mergeCells>
  <phoneticPr fontId="14" type="noConversion"/>
  <hyperlinks>
    <hyperlink ref="C9" r:id="rId1" display="https://climbinggymheaven.com/product/pyramide-a1-2/" xr:uid="{D2A3A8FD-805A-4028-9843-05BE2F434758}"/>
    <hyperlink ref="C10" r:id="rId2" display="https://climbinggymheaven.com/product/pyramide-a4-2/" xr:uid="{366A33C1-8657-4DCF-A990-4A3CA3751B7C}"/>
    <hyperlink ref="C11" r:id="rId3" display="https://climbinggymheaven.com/product/pyramide-b1/" xr:uid="{E9299167-1115-46E6-9E62-F5BD884C140A}"/>
    <hyperlink ref="C12" r:id="rId4" display="https://climbinggymheaven.com/product/pyramide-b2/" xr:uid="{0E4731CA-CD3F-4487-A45F-C3C82B5F719B}"/>
    <hyperlink ref="C13" r:id="rId5" display="https://climbinggymheaven.com/product/pyramide-b3/" xr:uid="{BBB66A7C-8644-418B-BF2C-751E6609F160}"/>
    <hyperlink ref="C14" r:id="rId6" display="https://climbinggymheaven.com/product/pyramide-b4/" xr:uid="{1522EF75-CBD5-402B-BFA8-D6B14F315B4C}"/>
    <hyperlink ref="C15" r:id="rId7" display="https://climbinggymheaven.com/product/pyramide-c1/" xr:uid="{3EF3BDD4-9F25-46AD-AC9D-2232AA11EFC6}"/>
    <hyperlink ref="C16" r:id="rId8" display="https://climbinggymheaven.com/product/pyramide-c2/" xr:uid="{CAE40840-A78B-43AE-A7B4-34BAFF9846C1}"/>
    <hyperlink ref="C17" r:id="rId9" display="https://climbinggymheaven.com/product/pyramide-c3/" xr:uid="{90B06B3B-3204-4720-BC88-321AEA9BFCA7}"/>
    <hyperlink ref="C18" r:id="rId10" display="https://climbinggymheaven.com/product/pyramide-c4/" xr:uid="{0AE84596-FAC5-450C-BEB7-D04DE40D6520}"/>
    <hyperlink ref="C19" r:id="rId11" display="https://climbinggymheaven.com/product/pyramide-e1-left/" xr:uid="{A2E7A8E4-FD62-4912-8D15-474EFB639B7D}"/>
    <hyperlink ref="C20" r:id="rId12" display="https://climbinggymheaven.com/product/pyramide-e1-right/" xr:uid="{CEE4CCC3-6214-4C8E-97F6-34AF2F01C315}"/>
    <hyperlink ref="C21" r:id="rId13" display="https://climbinggymheaven.com/product/pyramide-e4-left/" xr:uid="{7CD7C225-8F5D-453F-8EFD-1BB146867553}"/>
    <hyperlink ref="C22" r:id="rId14" display="https://climbinggymheaven.com/product/pyramide-e4-right/" xr:uid="{0F91EDBD-BDA4-4662-B53C-9A8DAA3748B4}"/>
    <hyperlink ref="C23" r:id="rId15" display="https://climbinggymheaven.com/product/pyramide-f1-left/" xr:uid="{06436E98-E77D-47B3-A251-0CBED7A1DAF5}"/>
    <hyperlink ref="C24" r:id="rId16" display="https://climbinggymheaven.com/product/pyramide-f1-right/" xr:uid="{1FAA2AFC-FC87-47C7-964F-B87999A09C7B}"/>
    <hyperlink ref="C25" r:id="rId17" display="https://climbinggymheaven.com/product/pyramide-f4-left/" xr:uid="{5C8FB3D0-2398-4403-A35E-BD78012BE5A1}"/>
    <hyperlink ref="C26" r:id="rId18" display="https://climbinggymheaven.com/product/pyramide-f4-right/" xr:uid="{53C4D98E-0AC3-48FF-A02F-A3B5CDBD7EA4}"/>
    <hyperlink ref="C27" r:id="rId19" display="https://climbinggymheaven.com/product/pyramide-g1-left/" xr:uid="{9831B189-407A-4266-91A9-07B867B623AD}"/>
    <hyperlink ref="C28" r:id="rId20" display="https://climbinggymheaven.com/product/pyramide-g1-right/" xr:uid="{2F82A9BB-C404-4B9D-B599-B5115A88F892}"/>
    <hyperlink ref="C29" r:id="rId21" display="https://climbinggymheaven.com/product/pyramide-g4-left/" xr:uid="{88606088-7DF4-482E-AA11-1CFC46954D26}"/>
    <hyperlink ref="C30" r:id="rId22" display="https://climbinggymheaven.com/product/pyramide-g4-right/" xr:uid="{7B4F0468-5DE6-43BA-85ED-BC533CEBD4CC}"/>
    <hyperlink ref="C31" r:id="rId23" display="https://climbinggymheaven.com/product/pyramide-h1/" xr:uid="{538532BC-2237-4F3B-B79E-C67A7288ED54}"/>
    <hyperlink ref="C32" r:id="rId24" display="https://climbinggymheaven.com/product/pyramide-h2/" xr:uid="{DE44221A-D0EC-4392-88CB-9B72BA304C5A}"/>
    <hyperlink ref="C33" r:id="rId25" display="https://climbinggymheaven.com/product/pyramide-h3/" xr:uid="{720C7165-A0C1-4043-9241-2E1957BF128C}"/>
    <hyperlink ref="C34" r:id="rId26" display="https://climbinggymheaven.com/product/pyramide-i1/" xr:uid="{8D7503CC-D629-4D9F-A8AC-6D8DF98FAF25}"/>
    <hyperlink ref="C35" r:id="rId27" display="https://climbinggymheaven.com/product/pyramide-i2/" xr:uid="{8AECC927-7F47-4706-A626-FEF171F6A31B}"/>
    <hyperlink ref="C36" r:id="rId28" display="https://climbinggymheaven.com/product/pyramide-i3/" xr:uid="{58359CA1-D4D2-4E85-9023-C770B2640CC0}"/>
    <hyperlink ref="C37" r:id="rId29" display="https://climbinggymheaven.com/product/pyramide-i4/" xr:uid="{4D0A9FB4-26FA-4398-9353-1467429D294A}"/>
    <hyperlink ref="C38" r:id="rId30" display="https://climbinggymheaven.com/product/pyramide-i5/" xr:uid="{7E472E53-CF1C-4FEC-A326-DAF09EAC1C91}"/>
    <hyperlink ref="C39" r:id="rId31" display="https://climbinggymheaven.com/product/pyramide-i6/" xr:uid="{1A4AAB5B-B3F8-4C78-8E1C-B1B02288B208}"/>
    <hyperlink ref="C40" r:id="rId32" display="https://climbinggymheaven.com/product/pyramide-i7/" xr:uid="{6638BCD7-42F9-4B15-A3AA-D050535AD183}"/>
    <hyperlink ref="C41" r:id="rId33" display="https://climbinggymheaven.com/product/pyramide-i8/" xr:uid="{70F2ECEA-BC7B-43A4-A26C-773A4D92ECD0}"/>
    <hyperlink ref="C42" r:id="rId34" display="https://climbinggymheaven.com/product/pyramide-r1/" xr:uid="{70323A92-32D3-4C4C-AAC6-0DFCD9F395E6}"/>
    <hyperlink ref="C43" r:id="rId35" display="https://climbinggymheaven.com/product/pyramide-r2/" xr:uid="{D9B3485F-20CA-413F-BA93-D582E4AD5294}"/>
    <hyperlink ref="C45" r:id="rId36" display="https://climbinggymheaven.com/product/basic-pack/" xr:uid="{3DB61233-E0EE-4BC2-AF11-50A22A5924E3}"/>
    <hyperlink ref="C46" r:id="rId37" display="https://climbinggymheaven.com/product/arrow-pack/" xr:uid="{30428DAB-B5C6-485C-8518-132AAF318FC6}"/>
    <hyperlink ref="C47" r:id="rId38" display="https://climbinggymheaven.com/product/running-pack/" xr:uid="{C760E8CF-4A98-4246-AE3A-83005460BB72}"/>
    <hyperlink ref="C48" r:id="rId39" display="https://climbinggymheaven.com/product/connection-pack/" xr:uid="{7DA9CCD3-B4DA-4EA0-9F3B-4CE479F8914C}"/>
    <hyperlink ref="C49" r:id="rId40" display="https://climbinggymheaven.com/product/snake-pack/" xr:uid="{544E1EC3-72F0-4451-A27B-A58C4B1FE2C6}"/>
    <hyperlink ref="C50" r:id="rId41" display="https://climbinggymheaven.com/product/long-pack/" xr:uid="{BCBEC50B-649D-4B6A-BC9C-59A1ED6553A0}"/>
    <hyperlink ref="C51" r:id="rId42" display="Puzzle Pack MINI" xr:uid="{E08A357A-E7AA-462C-A7C5-C573DAC15113}"/>
    <hyperlink ref="C52" r:id="rId43" display="Puzzle Pack MEGA" xr:uid="{8ACC801B-2539-4B62-98B2-868ADECA975F}"/>
    <hyperlink ref="C53" r:id="rId44" display="Discovery Pack" xr:uid="{3AD9EE39-E997-4CBE-B593-F475411580D9}"/>
    <hyperlink ref="C54" r:id="rId45" display="Cosmic Pack" xr:uid="{54533CA1-0D53-4DEE-AF43-AA310DD26797}"/>
    <hyperlink ref="C55" r:id="rId46" display="Adventure Pack" xr:uid="{875EFDE2-8606-48A9-8F35-682AD8BF7D6C}"/>
    <hyperlink ref="C56" r:id="rId47" display="Mystic Pack" xr:uid="{8025AE09-1D13-4569-89CC-C3E9B6C29B69}"/>
    <hyperlink ref="C57" r:id="rId48" display="Rocket Pack" xr:uid="{61E88A98-7005-484F-B732-6FB9F114026B}"/>
    <hyperlink ref="C58" r:id="rId49" display="B Pack" xr:uid="{C3EE3BA4-F351-4D16-A30E-0B1D1BD5148B}"/>
    <hyperlink ref="C60" r:id="rId50" display="Tangram Pack" xr:uid="{EDABAB4E-4E14-42F4-9D17-C8DCACF57666}"/>
    <hyperlink ref="C61" r:id="rId51" display="Tangram Pack S" xr:uid="{8A9831B0-729D-4AEA-8D0F-00B6D6662BF9}"/>
  </hyperlinks>
  <pageMargins left="0.7" right="0.7" top="0.75" bottom="0.75" header="0.3" footer="0.3"/>
  <pageSetup paperSize="9" scale="49" orientation="portrait" r:id="rId52"/>
  <drawing r:id="rId53"/>
  <tableParts count="1">
    <tablePart r:id="rId5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63A7A-4441-47D3-B9A7-A7DA3FEC9B33}">
  <sheetPr codeName="Sheet2">
    <tabColor theme="1" tint="4.9989318521683403E-2"/>
    <pageSetUpPr fitToPage="1"/>
  </sheetPr>
  <dimension ref="A1:AG142"/>
  <sheetViews>
    <sheetView showGridLines="0" zoomScaleNormal="100" zoomScaleSheetLayoutView="55" workbookViewId="0">
      <pane ySplit="7" topLeftCell="A100" activePane="bottomLeft" state="frozen"/>
      <selection pane="bottomLeft" activeCell="AB102" sqref="AB102:AE102"/>
    </sheetView>
  </sheetViews>
  <sheetFormatPr defaultColWidth="8.85546875" defaultRowHeight="15" x14ac:dyDescent="0.25"/>
  <cols>
    <col min="1" max="1" width="17" style="30" customWidth="1"/>
    <col min="2" max="2" width="16.5703125" style="30" bestFit="1" customWidth="1"/>
    <col min="3" max="4" width="8.5703125" style="30" customWidth="1"/>
    <col min="5" max="5" width="12" style="30" customWidth="1"/>
    <col min="6" max="6" width="13" style="30" hidden="1" customWidth="1"/>
    <col min="7" max="8" width="9.28515625" style="30" hidden="1" customWidth="1"/>
    <col min="9" max="9" width="15.140625" style="30" hidden="1" customWidth="1"/>
    <col min="10" max="10" width="12.28515625" style="30" hidden="1" customWidth="1"/>
    <col min="11" max="11" width="19.7109375" style="30" hidden="1" customWidth="1"/>
    <col min="12" max="12" width="20.140625" style="30" hidden="1" customWidth="1"/>
    <col min="13" max="13" width="12.42578125" style="30" bestFit="1" customWidth="1"/>
    <col min="14" max="14" width="8.5703125" style="30" customWidth="1"/>
    <col min="15" max="15" width="8.85546875" style="30" customWidth="1"/>
    <col min="16" max="16" width="12.42578125" style="30" bestFit="1" customWidth="1"/>
    <col min="17" max="17" width="16.7109375" style="30" hidden="1" customWidth="1"/>
    <col min="18" max="18" width="11.85546875" style="30" bestFit="1" customWidth="1"/>
    <col min="19" max="25" width="8.5703125" style="30" customWidth="1"/>
    <col min="26" max="27" width="8.5703125" style="219" customWidth="1"/>
    <col min="28" max="31" width="8.5703125" style="30" customWidth="1"/>
    <col min="33" max="33" width="6.42578125" style="30" hidden="1" customWidth="1"/>
    <col min="34" max="34" width="6.42578125" style="30" customWidth="1"/>
    <col min="35" max="36" width="7.5703125" style="30" bestFit="1" customWidth="1"/>
    <col min="37" max="37" width="11.5703125" style="30" customWidth="1"/>
    <col min="38" max="38" width="7.5703125" style="30" bestFit="1" customWidth="1"/>
    <col min="39" max="39" width="9.5703125" style="30" customWidth="1"/>
    <col min="40" max="16384" width="8.85546875" style="30"/>
  </cols>
  <sheetData>
    <row r="1" spans="1:33" ht="53.25" customHeight="1" thickBot="1" x14ac:dyDescent="0.25"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AF1" s="30"/>
    </row>
    <row r="2" spans="1:33" ht="21" customHeight="1" thickBot="1" x14ac:dyDescent="0.25">
      <c r="B2" s="58"/>
      <c r="C2" s="58"/>
      <c r="D2" s="58"/>
      <c r="E2" s="58"/>
      <c r="F2" s="58"/>
      <c r="G2" s="58"/>
      <c r="H2" s="58"/>
      <c r="I2" s="162" t="s">
        <v>1371</v>
      </c>
      <c r="J2" s="163" t="s">
        <v>1342</v>
      </c>
      <c r="K2" s="58"/>
      <c r="L2" s="58"/>
      <c r="M2" s="58"/>
      <c r="N2" s="58"/>
      <c r="O2" s="58"/>
      <c r="P2" s="58"/>
      <c r="Q2" s="164"/>
      <c r="R2" s="165"/>
      <c r="W2" s="58"/>
      <c r="X2" s="58"/>
      <c r="Y2" s="58"/>
      <c r="Z2" s="567"/>
      <c r="AA2" s="567"/>
      <c r="AF2" s="30"/>
    </row>
    <row r="3" spans="1:33" ht="18" customHeight="1" thickBot="1" x14ac:dyDescent="0.3">
      <c r="B3" s="549" t="s">
        <v>0</v>
      </c>
      <c r="C3" s="550"/>
      <c r="D3" s="570">
        <f>SUM(N8:N115)</f>
        <v>0</v>
      </c>
      <c r="E3" s="571"/>
      <c r="F3" s="58"/>
      <c r="G3" s="58"/>
      <c r="H3" s="58"/>
      <c r="I3" s="166">
        <f>SUM(L12:L34)</f>
        <v>0</v>
      </c>
      <c r="J3" s="167">
        <f>D3-I3</f>
        <v>0</v>
      </c>
    </row>
    <row r="4" spans="1:33" ht="18" customHeight="1" thickBot="1" x14ac:dyDescent="0.3">
      <c r="B4" s="547" t="s">
        <v>19</v>
      </c>
      <c r="C4" s="548"/>
      <c r="D4" s="572">
        <f>SUM(P8:P115)</f>
        <v>0</v>
      </c>
      <c r="E4" s="573"/>
      <c r="F4" s="58"/>
      <c r="G4" s="58"/>
      <c r="H4" s="58"/>
      <c r="O4" s="536" t="s">
        <v>1202</v>
      </c>
      <c r="P4" s="537"/>
      <c r="R4" s="481">
        <f t="shared" ref="R4:AE4" si="0">SUM(R11:R113)</f>
        <v>0</v>
      </c>
      <c r="S4" s="441">
        <f t="shared" si="0"/>
        <v>0</v>
      </c>
      <c r="T4" s="442">
        <f t="shared" si="0"/>
        <v>0</v>
      </c>
      <c r="U4" s="443">
        <f t="shared" si="0"/>
        <v>0</v>
      </c>
      <c r="V4" s="444">
        <f t="shared" si="0"/>
        <v>0</v>
      </c>
      <c r="W4" s="445">
        <f t="shared" si="0"/>
        <v>0</v>
      </c>
      <c r="X4" s="446">
        <f t="shared" si="0"/>
        <v>0</v>
      </c>
      <c r="Y4" s="447">
        <f t="shared" si="0"/>
        <v>0</v>
      </c>
      <c r="Z4" s="451">
        <f t="shared" si="0"/>
        <v>0</v>
      </c>
      <c r="AA4" s="448">
        <f t="shared" si="0"/>
        <v>0</v>
      </c>
      <c r="AB4" s="325">
        <f t="shared" si="0"/>
        <v>0</v>
      </c>
      <c r="AC4" s="324">
        <f t="shared" si="0"/>
        <v>0</v>
      </c>
      <c r="AD4" s="323">
        <f t="shared" si="0"/>
        <v>0</v>
      </c>
      <c r="AE4" s="322">
        <f t="shared" si="0"/>
        <v>0</v>
      </c>
      <c r="AG4" s="30">
        <v>1.06</v>
      </c>
    </row>
    <row r="5" spans="1:33" ht="4.5" customHeight="1" thickBot="1" x14ac:dyDescent="0.3">
      <c r="B5" s="170"/>
      <c r="C5" s="170"/>
      <c r="D5" s="170"/>
      <c r="E5" s="171"/>
      <c r="F5" s="171"/>
    </row>
    <row r="6" spans="1:33" ht="15.75" hidden="1" thickBot="1" x14ac:dyDescent="0.3">
      <c r="N6" s="32"/>
      <c r="R6" s="214">
        <f t="shared" ref="R6:AA6" si="1">SUM(R11:R54)</f>
        <v>0</v>
      </c>
      <c r="S6" s="214">
        <f t="shared" si="1"/>
        <v>0</v>
      </c>
      <c r="T6" s="214">
        <f t="shared" si="1"/>
        <v>0</v>
      </c>
      <c r="U6" s="214">
        <f t="shared" si="1"/>
        <v>0</v>
      </c>
      <c r="V6" s="214">
        <f t="shared" si="1"/>
        <v>0</v>
      </c>
      <c r="W6" s="214">
        <f t="shared" si="1"/>
        <v>0</v>
      </c>
      <c r="X6" s="214">
        <f t="shared" si="1"/>
        <v>0</v>
      </c>
      <c r="Y6" s="214">
        <f t="shared" si="1"/>
        <v>0</v>
      </c>
      <c r="Z6" s="459">
        <f t="shared" si="1"/>
        <v>0</v>
      </c>
      <c r="AA6" s="459">
        <f t="shared" si="1"/>
        <v>0</v>
      </c>
      <c r="AB6" s="214">
        <f>SUM(AB11:AB54)</f>
        <v>0</v>
      </c>
      <c r="AC6" s="214">
        <f>SUM(AC11:AC54)</f>
        <v>0</v>
      </c>
      <c r="AD6" s="214">
        <f>SUM(AD11:AD54)</f>
        <v>0</v>
      </c>
      <c r="AE6" s="214">
        <f>SUM(AE11:AE54)</f>
        <v>0</v>
      </c>
      <c r="AF6" s="30"/>
    </row>
    <row r="7" spans="1:33" ht="36.6" customHeight="1" thickBot="1" x14ac:dyDescent="0.25">
      <c r="B7" s="34" t="s">
        <v>86</v>
      </c>
      <c r="C7" s="199" t="s">
        <v>989</v>
      </c>
      <c r="D7" s="199" t="s">
        <v>12</v>
      </c>
      <c r="E7" s="35" t="s">
        <v>1503</v>
      </c>
      <c r="F7" s="35" t="s">
        <v>3</v>
      </c>
      <c r="G7" s="60" t="s">
        <v>2066</v>
      </c>
      <c r="H7" s="485" t="s">
        <v>2064</v>
      </c>
      <c r="I7" s="173" t="s">
        <v>1373</v>
      </c>
      <c r="J7" s="173" t="s">
        <v>1374</v>
      </c>
      <c r="K7" s="173" t="s">
        <v>1371</v>
      </c>
      <c r="L7" s="160" t="s">
        <v>1372</v>
      </c>
      <c r="M7" s="491" t="s">
        <v>2069</v>
      </c>
      <c r="N7" s="65" t="s">
        <v>85</v>
      </c>
      <c r="O7" s="66" t="s">
        <v>10</v>
      </c>
      <c r="P7" s="66" t="s">
        <v>1764</v>
      </c>
      <c r="Q7" s="66" t="s">
        <v>11</v>
      </c>
      <c r="R7" s="61" t="s">
        <v>657</v>
      </c>
      <c r="S7" s="27" t="s">
        <v>84</v>
      </c>
      <c r="T7" s="27" t="s">
        <v>14</v>
      </c>
      <c r="U7" s="28" t="s">
        <v>926</v>
      </c>
      <c r="V7" s="28" t="s">
        <v>5</v>
      </c>
      <c r="W7" s="27" t="s">
        <v>6</v>
      </c>
      <c r="X7" s="27" t="s">
        <v>7</v>
      </c>
      <c r="Y7" s="27" t="s">
        <v>927</v>
      </c>
      <c r="Z7" s="28" t="s">
        <v>198</v>
      </c>
      <c r="AA7" s="28" t="s">
        <v>8</v>
      </c>
      <c r="AB7" s="28" t="s">
        <v>1754</v>
      </c>
      <c r="AC7" s="28" t="s">
        <v>1755</v>
      </c>
      <c r="AD7" s="28" t="s">
        <v>1756</v>
      </c>
      <c r="AE7" s="28" t="s">
        <v>1757</v>
      </c>
      <c r="AF7" s="30"/>
    </row>
    <row r="8" spans="1:33" ht="14.25" customHeight="1" thickBot="1" x14ac:dyDescent="0.25">
      <c r="B8" s="405" t="s">
        <v>1984</v>
      </c>
      <c r="C8" s="406"/>
      <c r="D8" s="407"/>
      <c r="E8" s="401"/>
      <c r="F8" s="408"/>
      <c r="G8" s="364"/>
      <c r="H8" s="364"/>
      <c r="I8" s="364"/>
      <c r="J8" s="364"/>
      <c r="K8" s="124"/>
      <c r="L8" s="365"/>
      <c r="M8" s="228"/>
      <c r="N8" s="349"/>
      <c r="O8" s="366"/>
      <c r="P8" s="80"/>
      <c r="Q8" s="140">
        <f>O8*F8</f>
        <v>0</v>
      </c>
      <c r="R8" s="80"/>
      <c r="S8" s="80"/>
      <c r="T8" s="80"/>
      <c r="U8" s="80"/>
      <c r="V8" s="80"/>
      <c r="W8" s="80"/>
      <c r="X8" s="80"/>
      <c r="Y8" s="80"/>
      <c r="Z8" s="457"/>
      <c r="AA8" s="454"/>
      <c r="AB8" s="410"/>
      <c r="AC8" s="410"/>
      <c r="AD8" s="410"/>
      <c r="AE8" s="410"/>
      <c r="AF8" s="30"/>
    </row>
    <row r="9" spans="1:33" ht="12" thickBot="1" x14ac:dyDescent="0.25">
      <c r="A9" s="411" t="s">
        <v>1983</v>
      </c>
      <c r="B9" s="90" t="s">
        <v>1979</v>
      </c>
      <c r="C9" s="404" t="s">
        <v>1981</v>
      </c>
      <c r="D9" s="216">
        <v>50</v>
      </c>
      <c r="E9" s="48" t="s">
        <v>1447</v>
      </c>
      <c r="F9" s="47"/>
      <c r="G9" s="49">
        <v>65</v>
      </c>
      <c r="H9" s="49">
        <f>ROUNDUP(Tabela17812[[#This Row],[OLD PRICE]]*(1+PRICES!$C$6),0)</f>
        <v>78</v>
      </c>
      <c r="I9" s="49"/>
      <c r="J9" s="49">
        <f>Tabela17812[[#This Row],[OLD PRICE]]*Tabela17812[[#This Row],[DISCOUNT per piece '[%']]]</f>
        <v>0</v>
      </c>
      <c r="K9" s="49">
        <f>Tabela17812[[#This Row],[OLD PRICE]]*(1-Tabela17812[[#This Row],[DISCOUNT per piece '[%']]])</f>
        <v>65</v>
      </c>
      <c r="L9" s="192">
        <f>Tabela17812[[#This Row],[SETS]]*Tabela17812[[#This Row],[PROMOTIONAL PRICE]]</f>
        <v>0</v>
      </c>
      <c r="M9" s="507" cm="1">
        <f t="array" ref="M9">ROUNDUP(Tabela17812[[#This Row],[NEW PRICE]]*eurofxref_daily[],2)</f>
        <v>125.49000000000001</v>
      </c>
      <c r="N9" s="506">
        <f>Tabela17812[[#This Row],[CAD PRICE]]*O9</f>
        <v>0</v>
      </c>
      <c r="O9" s="128">
        <f>SUM(R9:AE9)</f>
        <v>0</v>
      </c>
      <c r="P9" s="153">
        <f>Tabela17812[[#This Row],[SETS]]*Tabela17812[[#This Row],[Number of pcs]]</f>
        <v>0</v>
      </c>
      <c r="Q9" s="128">
        <f>O9*F9</f>
        <v>0</v>
      </c>
      <c r="R9" s="482"/>
      <c r="S9" s="486"/>
      <c r="T9" s="466"/>
      <c r="U9" s="435"/>
      <c r="V9" s="467"/>
      <c r="W9" s="468"/>
      <c r="X9" s="436"/>
      <c r="Y9" s="470"/>
      <c r="Z9" s="469"/>
      <c r="AA9" s="449"/>
      <c r="AB9" s="437"/>
      <c r="AC9" s="438"/>
      <c r="AD9" s="439"/>
      <c r="AE9" s="440"/>
      <c r="AF9" s="30"/>
    </row>
    <row r="10" spans="1:33" ht="12" thickBot="1" x14ac:dyDescent="0.25">
      <c r="A10" s="411" t="s">
        <v>1983</v>
      </c>
      <c r="B10" s="90" t="s">
        <v>1980</v>
      </c>
      <c r="C10" s="404" t="s">
        <v>1982</v>
      </c>
      <c r="D10" s="216">
        <v>10</v>
      </c>
      <c r="E10" s="48" t="s">
        <v>1447</v>
      </c>
      <c r="F10" s="47"/>
      <c r="G10" s="49">
        <v>45</v>
      </c>
      <c r="H10" s="49">
        <f>ROUNDUP(Tabela17812[[#This Row],[OLD PRICE]]*(1+PRICES!$C$6),0)</f>
        <v>54</v>
      </c>
      <c r="I10" s="49"/>
      <c r="J10" s="49">
        <f>Tabela17812[[#This Row],[OLD PRICE]]*Tabela17812[[#This Row],[DISCOUNT per piece '[%']]]</f>
        <v>0</v>
      </c>
      <c r="K10" s="49">
        <f>Tabela17812[[#This Row],[OLD PRICE]]*(1-Tabela17812[[#This Row],[DISCOUNT per piece '[%']]])</f>
        <v>45</v>
      </c>
      <c r="L10" s="192">
        <f>Tabela17812[[#This Row],[SETS]]*Tabela17812[[#This Row],[PROMOTIONAL PRICE]]</f>
        <v>0</v>
      </c>
      <c r="M10" s="507" cm="1">
        <f t="array" ref="M10">ROUNDUP(Tabela17812[[#This Row],[NEW PRICE]]*eurofxref_daily[],2)</f>
        <v>86.88000000000001</v>
      </c>
      <c r="N10" s="506">
        <f>Tabela17812[[#This Row],[CAD PRICE]]*O10</f>
        <v>0</v>
      </c>
      <c r="O10" s="128">
        <f>SUM(R10:AE10)</f>
        <v>0</v>
      </c>
      <c r="P10" s="153">
        <f>Tabela17812[[#This Row],[SETS]]*Tabela17812[[#This Row],[Number of pcs]]</f>
        <v>0</v>
      </c>
      <c r="Q10" s="128">
        <f>O10*F10</f>
        <v>0</v>
      </c>
      <c r="R10" s="482"/>
      <c r="S10" s="486"/>
      <c r="T10" s="466"/>
      <c r="U10" s="435"/>
      <c r="V10" s="467"/>
      <c r="W10" s="468"/>
      <c r="X10" s="436"/>
      <c r="Y10" s="470"/>
      <c r="Z10" s="469"/>
      <c r="AA10" s="449"/>
      <c r="AB10" s="437"/>
      <c r="AC10" s="438"/>
      <c r="AD10" s="439"/>
      <c r="AE10" s="440"/>
      <c r="AF10" s="30"/>
    </row>
    <row r="11" spans="1:33" ht="12" thickBot="1" x14ac:dyDescent="0.25">
      <c r="B11" s="125" t="s">
        <v>1502</v>
      </c>
      <c r="C11" s="126"/>
      <c r="D11" s="126"/>
      <c r="E11" s="124"/>
      <c r="F11" s="124"/>
      <c r="G11" s="364"/>
      <c r="H11" s="362"/>
      <c r="I11" s="364"/>
      <c r="J11" s="364">
        <f>Tabela17812[[#This Row],[OLD PRICE]]*Tabela17812[[#This Row],[DISCOUNT per piece '[%']]]</f>
        <v>0</v>
      </c>
      <c r="K11" s="364">
        <f>Tabela17812[[#This Row],[OLD PRICE]]*(1-Tabela17812[[#This Row],[DISCOUNT per piece '[%']]])</f>
        <v>0</v>
      </c>
      <c r="L11" s="364">
        <f>Tabela17812[[#This Row],[SETS]]*Tabela17812[[#This Row],[PROMOTIONAL PRICE]]</f>
        <v>0</v>
      </c>
      <c r="M11" s="362"/>
      <c r="N11" s="362"/>
      <c r="O11" s="366"/>
      <c r="P11" s="80"/>
      <c r="Q11" s="140"/>
      <c r="R11" s="80"/>
      <c r="S11" s="80"/>
      <c r="T11" s="80"/>
      <c r="U11" s="80"/>
      <c r="V11" s="80"/>
      <c r="W11" s="80"/>
      <c r="X11" s="80"/>
      <c r="Y11" s="80"/>
      <c r="Z11" s="457"/>
      <c r="AA11" s="454"/>
      <c r="AB11" s="353"/>
      <c r="AC11" s="353"/>
      <c r="AD11" s="353"/>
      <c r="AE11" s="353"/>
      <c r="AF11" s="30"/>
    </row>
    <row r="12" spans="1:33" ht="13.5" customHeight="1" thickBot="1" x14ac:dyDescent="0.25">
      <c r="B12" s="92" t="s">
        <v>1501</v>
      </c>
      <c r="C12" s="204" t="s">
        <v>1500</v>
      </c>
      <c r="D12" s="204">
        <v>3</v>
      </c>
      <c r="E12" s="48" t="s">
        <v>660</v>
      </c>
      <c r="F12" s="47">
        <v>2.4500000000000002</v>
      </c>
      <c r="G12" s="224">
        <v>88</v>
      </c>
      <c r="H12" s="49">
        <f>ROUNDUP(Tabela17812[[#This Row],[OLD PRICE]]*(1+PRICES!$C$6),0)</f>
        <v>106</v>
      </c>
      <c r="I12" s="158">
        <v>0.15</v>
      </c>
      <c r="J12" s="49">
        <f>Tabela17812[[#This Row],[OLD PRICE]]*Tabela17812[[#This Row],[DISCOUNT per piece '[%']]]</f>
        <v>13.2</v>
      </c>
      <c r="K12" s="49">
        <f>Tabela17812[[#This Row],[OLD PRICE]]*(1-Tabela17812[[#This Row],[DISCOUNT per piece '[%']]])</f>
        <v>74.8</v>
      </c>
      <c r="L12" s="178">
        <f>Tabela17812[[#This Row],[SETS]]*Tabela17812[[#This Row],[PROMOTIONAL PRICE]]</f>
        <v>0</v>
      </c>
      <c r="M12" s="507" cm="1">
        <f t="array" ref="M12">ROUNDUP(Tabela17812[[#This Row],[NEW PRICE]]*eurofxref_daily[],2)</f>
        <v>170.54</v>
      </c>
      <c r="N12" s="506">
        <f>Tabela17812[[#This Row],[CAD PRICE]]*O12</f>
        <v>0</v>
      </c>
      <c r="O12" s="62">
        <f>SUM(Tabela17812[[#This Row],[RAL 1023]:[NEON ORANGE]])</f>
        <v>0</v>
      </c>
      <c r="P12" s="62">
        <f>Tabela17812[[#This Row],[SETS]]*Tabela17812[[#This Row],[Number of pcs]]</f>
        <v>0</v>
      </c>
      <c r="Q12" s="332">
        <f t="shared" ref="Q12:Q25" si="2">O12*F12</f>
        <v>0</v>
      </c>
      <c r="R12" s="482"/>
      <c r="S12" s="486"/>
      <c r="T12" s="466"/>
      <c r="U12" s="435"/>
      <c r="V12" s="467"/>
      <c r="W12" s="468"/>
      <c r="X12" s="436"/>
      <c r="Y12" s="470"/>
      <c r="Z12" s="469"/>
      <c r="AA12" s="449"/>
      <c r="AB12" s="437"/>
      <c r="AC12" s="438"/>
      <c r="AD12" s="439"/>
      <c r="AE12" s="440"/>
      <c r="AF12" s="30"/>
    </row>
    <row r="13" spans="1:33" ht="13.5" customHeight="1" thickBot="1" x14ac:dyDescent="0.25">
      <c r="B13" s="92" t="s">
        <v>1499</v>
      </c>
      <c r="C13" s="204" t="s">
        <v>1498</v>
      </c>
      <c r="D13" s="204">
        <v>3</v>
      </c>
      <c r="E13" s="78" t="s">
        <v>660</v>
      </c>
      <c r="F13" s="77">
        <v>1.82</v>
      </c>
      <c r="G13" s="224">
        <v>84</v>
      </c>
      <c r="H13" s="49">
        <f>ROUNDUP(Tabela17812[[#This Row],[OLD PRICE]]*(1+PRICES!$C$6),0)</f>
        <v>101</v>
      </c>
      <c r="I13" s="175">
        <v>0.15</v>
      </c>
      <c r="J13" s="79">
        <f>Tabela17812[[#This Row],[OLD PRICE]]*Tabela17812[[#This Row],[DISCOUNT per piece '[%']]]</f>
        <v>12.6</v>
      </c>
      <c r="K13" s="79">
        <f>Tabela17812[[#This Row],[OLD PRICE]]*(1-Tabela17812[[#This Row],[DISCOUNT per piece '[%']]])</f>
        <v>71.399999999999991</v>
      </c>
      <c r="L13" s="176">
        <f>Tabela17812[[#This Row],[SETS]]*Tabela17812[[#This Row],[PROMOTIONAL PRICE]]</f>
        <v>0</v>
      </c>
      <c r="M13" s="507" cm="1">
        <f t="array" ref="M13">ROUNDUP(Tabela17812[[#This Row],[NEW PRICE]]*eurofxref_daily[],2)</f>
        <v>162.48999999999998</v>
      </c>
      <c r="N13" s="506">
        <f>Tabela17812[[#This Row],[CAD PRICE]]*O13</f>
        <v>0</v>
      </c>
      <c r="O13" s="62">
        <f>SUM(Tabela17812[[#This Row],[RAL 1023]:[NEON ORANGE]])</f>
        <v>0</v>
      </c>
      <c r="P13" s="62">
        <f>Tabela17812[[#This Row],[SETS]]*Tabela17812[[#This Row],[Number of pcs]]</f>
        <v>0</v>
      </c>
      <c r="Q13" s="332">
        <f t="shared" si="2"/>
        <v>0</v>
      </c>
      <c r="R13" s="482"/>
      <c r="S13" s="486"/>
      <c r="T13" s="466"/>
      <c r="U13" s="435"/>
      <c r="V13" s="467"/>
      <c r="W13" s="468"/>
      <c r="X13" s="436"/>
      <c r="Y13" s="470"/>
      <c r="Z13" s="469"/>
      <c r="AA13" s="449"/>
      <c r="AB13" s="437"/>
      <c r="AC13" s="438"/>
      <c r="AD13" s="439"/>
      <c r="AE13" s="440"/>
      <c r="AF13" s="30"/>
    </row>
    <row r="14" spans="1:33" ht="13.5" customHeight="1" thickBot="1" x14ac:dyDescent="0.25">
      <c r="B14" s="92" t="s">
        <v>1497</v>
      </c>
      <c r="C14" s="204" t="s">
        <v>1496</v>
      </c>
      <c r="D14" s="204">
        <v>10</v>
      </c>
      <c r="E14" s="48" t="s">
        <v>659</v>
      </c>
      <c r="F14" s="47">
        <v>1.46</v>
      </c>
      <c r="G14" s="224">
        <v>126</v>
      </c>
      <c r="H14" s="49">
        <f>ROUNDUP(Tabela17812[[#This Row],[OLD PRICE]]*(1+PRICES!$C$6),0)</f>
        <v>152</v>
      </c>
      <c r="I14" s="158">
        <v>0.15</v>
      </c>
      <c r="J14" s="49">
        <f>Tabela17812[[#This Row],[OLD PRICE]]*Tabela17812[[#This Row],[DISCOUNT per piece '[%']]]</f>
        <v>18.899999999999999</v>
      </c>
      <c r="K14" s="49">
        <f>Tabela17812[[#This Row],[OLD PRICE]]*(1-Tabela17812[[#This Row],[DISCOUNT per piece '[%']]])</f>
        <v>107.1</v>
      </c>
      <c r="L14" s="178">
        <f>Tabela17812[[#This Row],[SETS]]*Tabela17812[[#This Row],[PROMOTIONAL PRICE]]</f>
        <v>0</v>
      </c>
      <c r="M14" s="507" cm="1">
        <f t="array" ref="M14">ROUNDUP(Tabela17812[[#This Row],[NEW PRICE]]*eurofxref_daily[],2)</f>
        <v>244.54</v>
      </c>
      <c r="N14" s="506">
        <f>Tabela17812[[#This Row],[CAD PRICE]]*O14</f>
        <v>0</v>
      </c>
      <c r="O14" s="62">
        <f>SUM(Tabela17812[[#This Row],[RAL 1023]:[NEON ORANGE]])</f>
        <v>0</v>
      </c>
      <c r="P14" s="62">
        <f>Tabela17812[[#This Row],[SETS]]*Tabela17812[[#This Row],[Number of pcs]]</f>
        <v>0</v>
      </c>
      <c r="Q14" s="328">
        <f t="shared" si="2"/>
        <v>0</v>
      </c>
      <c r="R14" s="482"/>
      <c r="S14" s="486"/>
      <c r="T14" s="466"/>
      <c r="U14" s="435"/>
      <c r="V14" s="467"/>
      <c r="W14" s="468"/>
      <c r="X14" s="436"/>
      <c r="Y14" s="470"/>
      <c r="Z14" s="469"/>
      <c r="AA14" s="449"/>
      <c r="AB14" s="437"/>
      <c r="AC14" s="438"/>
      <c r="AD14" s="439"/>
      <c r="AE14" s="440"/>
      <c r="AF14" s="30"/>
    </row>
    <row r="15" spans="1:33" ht="13.5" customHeight="1" thickBot="1" x14ac:dyDescent="0.25">
      <c r="B15" s="92" t="s">
        <v>1495</v>
      </c>
      <c r="C15" s="204" t="s">
        <v>1494</v>
      </c>
      <c r="D15" s="204">
        <v>12</v>
      </c>
      <c r="E15" s="48" t="s">
        <v>1444</v>
      </c>
      <c r="F15" s="47">
        <v>0.46</v>
      </c>
      <c r="G15" s="224">
        <v>78</v>
      </c>
      <c r="H15" s="49">
        <f>ROUNDUP(Tabela17812[[#This Row],[OLD PRICE]]*(1+PRICES!$C$6),0)</f>
        <v>94</v>
      </c>
      <c r="I15" s="158">
        <v>0.15</v>
      </c>
      <c r="J15" s="49">
        <f>Tabela17812[[#This Row],[OLD PRICE]]*Tabela17812[[#This Row],[DISCOUNT per piece '[%']]]</f>
        <v>11.7</v>
      </c>
      <c r="K15" s="49">
        <f>Tabela17812[[#This Row],[OLD PRICE]]*(1-Tabela17812[[#This Row],[DISCOUNT per piece '[%']]])</f>
        <v>66.3</v>
      </c>
      <c r="L15" s="178">
        <f>Tabela17812[[#This Row],[SETS]]*Tabela17812[[#This Row],[PROMOTIONAL PRICE]]</f>
        <v>0</v>
      </c>
      <c r="M15" s="507" cm="1">
        <f t="array" ref="M15">ROUNDUP(Tabela17812[[#This Row],[NEW PRICE]]*eurofxref_daily[],2)</f>
        <v>151.22999999999999</v>
      </c>
      <c r="N15" s="506">
        <f>Tabela17812[[#This Row],[CAD PRICE]]*O15</f>
        <v>0</v>
      </c>
      <c r="O15" s="62">
        <f>SUM(Tabela17812[[#This Row],[RAL 1023]:[NEON ORANGE]])</f>
        <v>0</v>
      </c>
      <c r="P15" s="62">
        <f>Tabela17812[[#This Row],[SETS]]*Tabela17812[[#This Row],[Number of pcs]]</f>
        <v>0</v>
      </c>
      <c r="Q15" s="328">
        <f t="shared" si="2"/>
        <v>0</v>
      </c>
      <c r="R15" s="482"/>
      <c r="S15" s="486"/>
      <c r="T15" s="466"/>
      <c r="U15" s="435"/>
      <c r="V15" s="467"/>
      <c r="W15" s="468"/>
      <c r="X15" s="436"/>
      <c r="Y15" s="470"/>
      <c r="Z15" s="469"/>
      <c r="AA15" s="449"/>
      <c r="AB15" s="437"/>
      <c r="AC15" s="438"/>
      <c r="AD15" s="439"/>
      <c r="AE15" s="440"/>
      <c r="AF15" s="30"/>
    </row>
    <row r="16" spans="1:33" ht="13.5" customHeight="1" thickBot="1" x14ac:dyDescent="0.25">
      <c r="B16" s="92" t="s">
        <v>1493</v>
      </c>
      <c r="C16" s="204" t="s">
        <v>1492</v>
      </c>
      <c r="D16" s="204">
        <v>3</v>
      </c>
      <c r="E16" s="48" t="s">
        <v>660</v>
      </c>
      <c r="F16" s="47">
        <v>1.1000000000000001</v>
      </c>
      <c r="G16" s="224">
        <v>80</v>
      </c>
      <c r="H16" s="49">
        <f>ROUNDUP(Tabela17812[[#This Row],[OLD PRICE]]*(1+PRICES!$C$6),0)</f>
        <v>96</v>
      </c>
      <c r="I16" s="158">
        <v>0.15</v>
      </c>
      <c r="J16" s="49">
        <f>Tabela17812[[#This Row],[OLD PRICE]]*Tabela17812[[#This Row],[DISCOUNT per piece '[%']]]</f>
        <v>12</v>
      </c>
      <c r="K16" s="49">
        <f>Tabela17812[[#This Row],[OLD PRICE]]*(1-Tabela17812[[#This Row],[DISCOUNT per piece '[%']]])</f>
        <v>68</v>
      </c>
      <c r="L16" s="178">
        <f>Tabela17812[[#This Row],[SETS]]*Tabela17812[[#This Row],[PROMOTIONAL PRICE]]</f>
        <v>0</v>
      </c>
      <c r="M16" s="507" cm="1">
        <f t="array" ref="M16">ROUNDUP(Tabela17812[[#This Row],[NEW PRICE]]*eurofxref_daily[],2)</f>
        <v>154.44999999999999</v>
      </c>
      <c r="N16" s="506">
        <f>Tabela17812[[#This Row],[CAD PRICE]]*O16</f>
        <v>0</v>
      </c>
      <c r="O16" s="62">
        <f>SUM(Tabela17812[[#This Row],[RAL 1023]:[NEON ORANGE]])</f>
        <v>0</v>
      </c>
      <c r="P16" s="62">
        <f>Tabela17812[[#This Row],[SETS]]*Tabela17812[[#This Row],[Number of pcs]]</f>
        <v>0</v>
      </c>
      <c r="Q16" s="328">
        <f t="shared" si="2"/>
        <v>0</v>
      </c>
      <c r="R16" s="482"/>
      <c r="S16" s="486"/>
      <c r="T16" s="466"/>
      <c r="U16" s="435"/>
      <c r="V16" s="467"/>
      <c r="W16" s="468"/>
      <c r="X16" s="436"/>
      <c r="Y16" s="470"/>
      <c r="Z16" s="469"/>
      <c r="AA16" s="449"/>
      <c r="AB16" s="437"/>
      <c r="AC16" s="438"/>
      <c r="AD16" s="439"/>
      <c r="AE16" s="440"/>
      <c r="AF16" s="30"/>
    </row>
    <row r="17" spans="2:32" ht="13.5" customHeight="1" thickBot="1" x14ac:dyDescent="0.25">
      <c r="B17" s="92" t="s">
        <v>1491</v>
      </c>
      <c r="C17" s="204" t="s">
        <v>1490</v>
      </c>
      <c r="D17" s="204">
        <v>1</v>
      </c>
      <c r="E17" s="48" t="s">
        <v>1421</v>
      </c>
      <c r="F17" s="47">
        <v>0.67</v>
      </c>
      <c r="G17" s="224">
        <v>56</v>
      </c>
      <c r="H17" s="49">
        <f>ROUNDUP(Tabela17812[[#This Row],[OLD PRICE]]*(1+PRICES!$C$6),0)</f>
        <v>68</v>
      </c>
      <c r="I17" s="158">
        <v>0.15</v>
      </c>
      <c r="J17" s="49">
        <f>Tabela17812[[#This Row],[OLD PRICE]]*Tabela17812[[#This Row],[DISCOUNT per piece '[%']]]</f>
        <v>8.4</v>
      </c>
      <c r="K17" s="49">
        <f>Tabela17812[[#This Row],[OLD PRICE]]*(1-Tabela17812[[#This Row],[DISCOUNT per piece '[%']]])</f>
        <v>47.6</v>
      </c>
      <c r="L17" s="178">
        <f>Tabela17812[[#This Row],[SETS]]*Tabela17812[[#This Row],[PROMOTIONAL PRICE]]</f>
        <v>0</v>
      </c>
      <c r="M17" s="507" cm="1">
        <f t="array" ref="M17">ROUNDUP(Tabela17812[[#This Row],[NEW PRICE]]*eurofxref_daily[],2)</f>
        <v>109.4</v>
      </c>
      <c r="N17" s="506">
        <f>Tabela17812[[#This Row],[CAD PRICE]]*O17</f>
        <v>0</v>
      </c>
      <c r="O17" s="62">
        <f>SUM(Tabela17812[[#This Row],[RAL 1023]:[NEON ORANGE]])</f>
        <v>0</v>
      </c>
      <c r="P17" s="62">
        <f>Tabela17812[[#This Row],[SETS]]*Tabela17812[[#This Row],[Number of pcs]]</f>
        <v>0</v>
      </c>
      <c r="Q17" s="328">
        <f t="shared" si="2"/>
        <v>0</v>
      </c>
      <c r="R17" s="482"/>
      <c r="S17" s="486"/>
      <c r="T17" s="466"/>
      <c r="U17" s="435"/>
      <c r="V17" s="467"/>
      <c r="W17" s="468"/>
      <c r="X17" s="436"/>
      <c r="Y17" s="470"/>
      <c r="Z17" s="469"/>
      <c r="AA17" s="449"/>
      <c r="AB17" s="437"/>
      <c r="AC17" s="438"/>
      <c r="AD17" s="439"/>
      <c r="AE17" s="440"/>
      <c r="AF17" s="30"/>
    </row>
    <row r="18" spans="2:32" ht="13.5" customHeight="1" thickBot="1" x14ac:dyDescent="0.25">
      <c r="B18" s="92" t="s">
        <v>1489</v>
      </c>
      <c r="C18" s="204" t="s">
        <v>1488</v>
      </c>
      <c r="D18" s="204">
        <v>3</v>
      </c>
      <c r="E18" s="48" t="s">
        <v>660</v>
      </c>
      <c r="F18" s="47">
        <v>1.02</v>
      </c>
      <c r="G18" s="224">
        <v>86</v>
      </c>
      <c r="H18" s="49">
        <f>ROUNDUP(Tabela17812[[#This Row],[OLD PRICE]]*(1+PRICES!$C$6),0)</f>
        <v>104</v>
      </c>
      <c r="I18" s="158">
        <v>0.15</v>
      </c>
      <c r="J18" s="49">
        <f>Tabela17812[[#This Row],[OLD PRICE]]*Tabela17812[[#This Row],[DISCOUNT per piece '[%']]]</f>
        <v>12.9</v>
      </c>
      <c r="K18" s="49">
        <f>Tabela17812[[#This Row],[OLD PRICE]]*(1-Tabela17812[[#This Row],[DISCOUNT per piece '[%']]])</f>
        <v>73.099999999999994</v>
      </c>
      <c r="L18" s="178">
        <f>Tabela17812[[#This Row],[SETS]]*Tabela17812[[#This Row],[PROMOTIONAL PRICE]]</f>
        <v>0</v>
      </c>
      <c r="M18" s="507" cm="1">
        <f t="array" ref="M18">ROUNDUP(Tabela17812[[#This Row],[NEW PRICE]]*eurofxref_daily[],2)</f>
        <v>167.32</v>
      </c>
      <c r="N18" s="506">
        <f>Tabela17812[[#This Row],[CAD PRICE]]*O18</f>
        <v>0</v>
      </c>
      <c r="O18" s="62">
        <f>SUM(Tabela17812[[#This Row],[RAL 1023]:[NEON ORANGE]])</f>
        <v>0</v>
      </c>
      <c r="P18" s="62">
        <f>Tabela17812[[#This Row],[SETS]]*Tabela17812[[#This Row],[Number of pcs]]</f>
        <v>0</v>
      </c>
      <c r="Q18" s="328">
        <f t="shared" si="2"/>
        <v>0</v>
      </c>
      <c r="R18" s="482"/>
      <c r="S18" s="486"/>
      <c r="T18" s="466"/>
      <c r="U18" s="435"/>
      <c r="V18" s="467"/>
      <c r="W18" s="468"/>
      <c r="X18" s="436"/>
      <c r="Y18" s="470"/>
      <c r="Z18" s="469"/>
      <c r="AA18" s="449"/>
      <c r="AB18" s="437"/>
      <c r="AC18" s="438"/>
      <c r="AD18" s="439"/>
      <c r="AE18" s="440"/>
      <c r="AF18" s="30"/>
    </row>
    <row r="19" spans="2:32" ht="13.5" customHeight="1" thickBot="1" x14ac:dyDescent="0.25">
      <c r="B19" s="92" t="s">
        <v>1487</v>
      </c>
      <c r="C19" s="204" t="s">
        <v>1486</v>
      </c>
      <c r="D19" s="204">
        <v>3</v>
      </c>
      <c r="E19" s="48" t="s">
        <v>1421</v>
      </c>
      <c r="F19" s="47">
        <v>1.66</v>
      </c>
      <c r="G19" s="224">
        <v>122</v>
      </c>
      <c r="H19" s="49">
        <f>ROUNDUP(Tabela17812[[#This Row],[OLD PRICE]]*(1+PRICES!$C$6),0)</f>
        <v>147</v>
      </c>
      <c r="I19" s="158">
        <v>0.15</v>
      </c>
      <c r="J19" s="49">
        <f>Tabela17812[[#This Row],[OLD PRICE]]*Tabela17812[[#This Row],[DISCOUNT per piece '[%']]]</f>
        <v>18.3</v>
      </c>
      <c r="K19" s="49">
        <f>Tabela17812[[#This Row],[OLD PRICE]]*(1-Tabela17812[[#This Row],[DISCOUNT per piece '[%']]])</f>
        <v>103.7</v>
      </c>
      <c r="L19" s="178">
        <f>Tabela17812[[#This Row],[SETS]]*Tabela17812[[#This Row],[PROMOTIONAL PRICE]]</f>
        <v>0</v>
      </c>
      <c r="M19" s="507" cm="1">
        <f t="array" ref="M19">ROUNDUP(Tabela17812[[#This Row],[NEW PRICE]]*eurofxref_daily[],2)</f>
        <v>236.5</v>
      </c>
      <c r="N19" s="506">
        <f>Tabela17812[[#This Row],[CAD PRICE]]*O19</f>
        <v>0</v>
      </c>
      <c r="O19" s="62">
        <f>SUM(Tabela17812[[#This Row],[RAL 1023]:[NEON ORANGE]])</f>
        <v>0</v>
      </c>
      <c r="P19" s="62">
        <f>Tabela17812[[#This Row],[SETS]]*Tabela17812[[#This Row],[Number of pcs]]</f>
        <v>0</v>
      </c>
      <c r="Q19" s="328">
        <f t="shared" si="2"/>
        <v>0</v>
      </c>
      <c r="R19" s="482"/>
      <c r="S19" s="486"/>
      <c r="T19" s="466"/>
      <c r="U19" s="435"/>
      <c r="V19" s="467"/>
      <c r="W19" s="468"/>
      <c r="X19" s="436"/>
      <c r="Y19" s="470"/>
      <c r="Z19" s="469"/>
      <c r="AA19" s="449"/>
      <c r="AB19" s="437"/>
      <c r="AC19" s="438"/>
      <c r="AD19" s="439"/>
      <c r="AE19" s="440"/>
      <c r="AF19" s="30"/>
    </row>
    <row r="20" spans="2:32" ht="13.5" customHeight="1" thickBot="1" x14ac:dyDescent="0.25">
      <c r="B20" s="92" t="s">
        <v>1485</v>
      </c>
      <c r="C20" s="204" t="s">
        <v>1484</v>
      </c>
      <c r="D20" s="204">
        <v>10</v>
      </c>
      <c r="E20" s="48" t="s">
        <v>1444</v>
      </c>
      <c r="F20" s="47">
        <v>0.69</v>
      </c>
      <c r="G20" s="224">
        <v>98</v>
      </c>
      <c r="H20" s="49">
        <f>ROUNDUP(Tabela17812[[#This Row],[OLD PRICE]]*(1+PRICES!$C$6),0)</f>
        <v>118</v>
      </c>
      <c r="I20" s="158">
        <v>0.15</v>
      </c>
      <c r="J20" s="49">
        <f>Tabela17812[[#This Row],[OLD PRICE]]*Tabela17812[[#This Row],[DISCOUNT per piece '[%']]]</f>
        <v>14.7</v>
      </c>
      <c r="K20" s="49">
        <f>Tabela17812[[#This Row],[OLD PRICE]]*(1-Tabela17812[[#This Row],[DISCOUNT per piece '[%']]])</f>
        <v>83.3</v>
      </c>
      <c r="L20" s="178">
        <f>Tabela17812[[#This Row],[SETS]]*Tabela17812[[#This Row],[PROMOTIONAL PRICE]]</f>
        <v>0</v>
      </c>
      <c r="M20" s="507" cm="1">
        <f t="array" ref="M20">ROUNDUP(Tabela17812[[#This Row],[NEW PRICE]]*eurofxref_daily[],2)</f>
        <v>189.84</v>
      </c>
      <c r="N20" s="506">
        <f>Tabela17812[[#This Row],[CAD PRICE]]*O20</f>
        <v>0</v>
      </c>
      <c r="O20" s="62">
        <f>SUM(Tabela17812[[#This Row],[RAL 1023]:[NEON ORANGE]])</f>
        <v>0</v>
      </c>
      <c r="P20" s="62">
        <f>Tabela17812[[#This Row],[SETS]]*Tabela17812[[#This Row],[Number of pcs]]</f>
        <v>0</v>
      </c>
      <c r="Q20" s="328">
        <f t="shared" si="2"/>
        <v>0</v>
      </c>
      <c r="R20" s="482"/>
      <c r="S20" s="486"/>
      <c r="T20" s="466"/>
      <c r="U20" s="435"/>
      <c r="V20" s="467"/>
      <c r="W20" s="468"/>
      <c r="X20" s="436"/>
      <c r="Y20" s="470"/>
      <c r="Z20" s="469"/>
      <c r="AA20" s="449"/>
      <c r="AB20" s="437"/>
      <c r="AC20" s="438"/>
      <c r="AD20" s="439"/>
      <c r="AE20" s="440"/>
      <c r="AF20" s="30"/>
    </row>
    <row r="21" spans="2:32" ht="13.5" customHeight="1" thickBot="1" x14ac:dyDescent="0.25">
      <c r="B21" s="92" t="s">
        <v>1483</v>
      </c>
      <c r="C21" s="204" t="s">
        <v>1482</v>
      </c>
      <c r="D21" s="204">
        <v>10</v>
      </c>
      <c r="E21" s="48" t="s">
        <v>659</v>
      </c>
      <c r="F21" s="47">
        <v>1.42</v>
      </c>
      <c r="G21" s="224">
        <v>122</v>
      </c>
      <c r="H21" s="49">
        <f>ROUNDUP(Tabela17812[[#This Row],[OLD PRICE]]*(1+PRICES!$C$6),0)</f>
        <v>147</v>
      </c>
      <c r="I21" s="158">
        <v>0.15</v>
      </c>
      <c r="J21" s="49">
        <f>Tabela17812[[#This Row],[OLD PRICE]]*Tabela17812[[#This Row],[DISCOUNT per piece '[%']]]</f>
        <v>18.3</v>
      </c>
      <c r="K21" s="49">
        <f>Tabela17812[[#This Row],[OLD PRICE]]*(1-Tabela17812[[#This Row],[DISCOUNT per piece '[%']]])</f>
        <v>103.7</v>
      </c>
      <c r="L21" s="178">
        <f>Tabela17812[[#This Row],[SETS]]*Tabela17812[[#This Row],[PROMOTIONAL PRICE]]</f>
        <v>0</v>
      </c>
      <c r="M21" s="507" cm="1">
        <f t="array" ref="M21">ROUNDUP(Tabela17812[[#This Row],[NEW PRICE]]*eurofxref_daily[],2)</f>
        <v>236.5</v>
      </c>
      <c r="N21" s="506">
        <f>Tabela17812[[#This Row],[CAD PRICE]]*O21</f>
        <v>0</v>
      </c>
      <c r="O21" s="62">
        <f>SUM(Tabela17812[[#This Row],[RAL 1023]:[NEON ORANGE]])</f>
        <v>0</v>
      </c>
      <c r="P21" s="62">
        <f>Tabela17812[[#This Row],[SETS]]*Tabela17812[[#This Row],[Number of pcs]]</f>
        <v>0</v>
      </c>
      <c r="Q21" s="328">
        <f t="shared" si="2"/>
        <v>0</v>
      </c>
      <c r="R21" s="482"/>
      <c r="S21" s="486"/>
      <c r="T21" s="466"/>
      <c r="U21" s="435"/>
      <c r="V21" s="467"/>
      <c r="W21" s="468"/>
      <c r="X21" s="436"/>
      <c r="Y21" s="470"/>
      <c r="Z21" s="469"/>
      <c r="AA21" s="449"/>
      <c r="AB21" s="437"/>
      <c r="AC21" s="438"/>
      <c r="AD21" s="439"/>
      <c r="AE21" s="440"/>
      <c r="AF21" s="30"/>
    </row>
    <row r="22" spans="2:32" ht="13.5" customHeight="1" thickBot="1" x14ac:dyDescent="0.25">
      <c r="B22" s="92" t="s">
        <v>1481</v>
      </c>
      <c r="C22" s="204" t="s">
        <v>1480</v>
      </c>
      <c r="D22" s="204">
        <v>3</v>
      </c>
      <c r="E22" s="48" t="s">
        <v>1421</v>
      </c>
      <c r="F22" s="47">
        <v>1.25</v>
      </c>
      <c r="G22" s="224">
        <v>99</v>
      </c>
      <c r="H22" s="49">
        <f>ROUNDUP(Tabela17812[[#This Row],[OLD PRICE]]*(1+PRICES!$C$6),0)</f>
        <v>119</v>
      </c>
      <c r="I22" s="158">
        <v>0.15</v>
      </c>
      <c r="J22" s="49">
        <f>Tabela17812[[#This Row],[OLD PRICE]]*Tabela17812[[#This Row],[DISCOUNT per piece '[%']]]</f>
        <v>14.85</v>
      </c>
      <c r="K22" s="49">
        <f>Tabela17812[[#This Row],[OLD PRICE]]*(1-Tabela17812[[#This Row],[DISCOUNT per piece '[%']]])</f>
        <v>84.149999999999991</v>
      </c>
      <c r="L22" s="178">
        <f>Tabela17812[[#This Row],[SETS]]*Tabela17812[[#This Row],[PROMOTIONAL PRICE]]</f>
        <v>0</v>
      </c>
      <c r="M22" s="507" cm="1">
        <f t="array" ref="M22">ROUNDUP(Tabela17812[[#This Row],[NEW PRICE]]*eurofxref_daily[],2)</f>
        <v>191.45</v>
      </c>
      <c r="N22" s="506">
        <f>Tabela17812[[#This Row],[CAD PRICE]]*O22</f>
        <v>0</v>
      </c>
      <c r="O22" s="62">
        <f>SUM(Tabela17812[[#This Row],[RAL 1023]:[NEON ORANGE]])</f>
        <v>0</v>
      </c>
      <c r="P22" s="62">
        <f>Tabela17812[[#This Row],[SETS]]*Tabela17812[[#This Row],[Number of pcs]]</f>
        <v>0</v>
      </c>
      <c r="Q22" s="328">
        <f t="shared" si="2"/>
        <v>0</v>
      </c>
      <c r="R22" s="482"/>
      <c r="S22" s="486"/>
      <c r="T22" s="466"/>
      <c r="U22" s="435"/>
      <c r="V22" s="467"/>
      <c r="W22" s="468"/>
      <c r="X22" s="436"/>
      <c r="Y22" s="470"/>
      <c r="Z22" s="469"/>
      <c r="AA22" s="449"/>
      <c r="AB22" s="437"/>
      <c r="AC22" s="438"/>
      <c r="AD22" s="439"/>
      <c r="AE22" s="440"/>
      <c r="AF22" s="30"/>
    </row>
    <row r="23" spans="2:32" ht="13.5" customHeight="1" thickBot="1" x14ac:dyDescent="0.25">
      <c r="B23" s="92" t="s">
        <v>1479</v>
      </c>
      <c r="C23" s="204" t="s">
        <v>1478</v>
      </c>
      <c r="D23" s="204">
        <v>10</v>
      </c>
      <c r="E23" s="48" t="s">
        <v>659</v>
      </c>
      <c r="F23" s="47">
        <v>2.2799999999999998</v>
      </c>
      <c r="G23" s="224">
        <v>128</v>
      </c>
      <c r="H23" s="49">
        <f>ROUNDUP(Tabela17812[[#This Row],[OLD PRICE]]*(1+PRICES!$C$6),0)</f>
        <v>154</v>
      </c>
      <c r="I23" s="158">
        <v>0.15</v>
      </c>
      <c r="J23" s="49">
        <f>Tabela17812[[#This Row],[OLD PRICE]]*Tabela17812[[#This Row],[DISCOUNT per piece '[%']]]</f>
        <v>19.2</v>
      </c>
      <c r="K23" s="49">
        <f>Tabela17812[[#This Row],[OLD PRICE]]*(1-Tabela17812[[#This Row],[DISCOUNT per piece '[%']]])</f>
        <v>108.8</v>
      </c>
      <c r="L23" s="178">
        <f>Tabela17812[[#This Row],[SETS]]*Tabela17812[[#This Row],[PROMOTIONAL PRICE]]</f>
        <v>0</v>
      </c>
      <c r="M23" s="507" cm="1">
        <f t="array" ref="M23">ROUNDUP(Tabela17812[[#This Row],[NEW PRICE]]*eurofxref_daily[],2)</f>
        <v>247.76</v>
      </c>
      <c r="N23" s="506">
        <f>Tabela17812[[#This Row],[CAD PRICE]]*O23</f>
        <v>0</v>
      </c>
      <c r="O23" s="62">
        <f>SUM(Tabela17812[[#This Row],[RAL 1023]:[NEON ORANGE]])</f>
        <v>0</v>
      </c>
      <c r="P23" s="62">
        <f>Tabela17812[[#This Row],[SETS]]*Tabela17812[[#This Row],[Number of pcs]]</f>
        <v>0</v>
      </c>
      <c r="Q23" s="328">
        <f t="shared" si="2"/>
        <v>0</v>
      </c>
      <c r="R23" s="482"/>
      <c r="S23" s="486"/>
      <c r="T23" s="466"/>
      <c r="U23" s="435"/>
      <c r="V23" s="467"/>
      <c r="W23" s="468"/>
      <c r="X23" s="436"/>
      <c r="Y23" s="470"/>
      <c r="Z23" s="469"/>
      <c r="AA23" s="449"/>
      <c r="AB23" s="437"/>
      <c r="AC23" s="438"/>
      <c r="AD23" s="439"/>
      <c r="AE23" s="440"/>
      <c r="AF23" s="30"/>
    </row>
    <row r="24" spans="2:32" ht="13.5" customHeight="1" thickBot="1" x14ac:dyDescent="0.25">
      <c r="B24" s="92" t="s">
        <v>1477</v>
      </c>
      <c r="C24" s="204" t="s">
        <v>1476</v>
      </c>
      <c r="D24" s="204">
        <v>1</v>
      </c>
      <c r="E24" s="48" t="s">
        <v>1416</v>
      </c>
      <c r="F24" s="47">
        <v>0.88</v>
      </c>
      <c r="G24" s="224">
        <v>60</v>
      </c>
      <c r="H24" s="49">
        <f>ROUNDUP(Tabela17812[[#This Row],[OLD PRICE]]*(1+PRICES!$C$6),0)</f>
        <v>72</v>
      </c>
      <c r="I24" s="158">
        <v>0.15</v>
      </c>
      <c r="J24" s="49">
        <f>Tabela17812[[#This Row],[OLD PRICE]]*Tabela17812[[#This Row],[DISCOUNT per piece '[%']]]</f>
        <v>9</v>
      </c>
      <c r="K24" s="49">
        <f>Tabela17812[[#This Row],[OLD PRICE]]*(1-Tabela17812[[#This Row],[DISCOUNT per piece '[%']]])</f>
        <v>51</v>
      </c>
      <c r="L24" s="178">
        <f>Tabela17812[[#This Row],[SETS]]*Tabela17812[[#This Row],[PROMOTIONAL PRICE]]</f>
        <v>0</v>
      </c>
      <c r="M24" s="507" cm="1">
        <f t="array" ref="M24">ROUNDUP(Tabela17812[[#This Row],[NEW PRICE]]*eurofxref_daily[],2)</f>
        <v>115.84</v>
      </c>
      <c r="N24" s="506">
        <f>Tabela17812[[#This Row],[CAD PRICE]]*O24</f>
        <v>0</v>
      </c>
      <c r="O24" s="62">
        <f>SUM(Tabela17812[[#This Row],[RAL 1023]:[NEON ORANGE]])</f>
        <v>0</v>
      </c>
      <c r="P24" s="62">
        <f>Tabela17812[[#This Row],[SETS]]*Tabela17812[[#This Row],[Number of pcs]]</f>
        <v>0</v>
      </c>
      <c r="Q24" s="328">
        <f>O24*F24</f>
        <v>0</v>
      </c>
      <c r="R24" s="482"/>
      <c r="S24" s="486"/>
      <c r="T24" s="466"/>
      <c r="U24" s="435"/>
      <c r="V24" s="467"/>
      <c r="W24" s="468"/>
      <c r="X24" s="436"/>
      <c r="Y24" s="470"/>
      <c r="Z24" s="469"/>
      <c r="AA24" s="449"/>
      <c r="AB24" s="437"/>
      <c r="AC24" s="438"/>
      <c r="AD24" s="439"/>
      <c r="AE24" s="440"/>
      <c r="AF24" s="30"/>
    </row>
    <row r="25" spans="2:32" ht="13.5" customHeight="1" thickBot="1" x14ac:dyDescent="0.25">
      <c r="B25" s="92" t="s">
        <v>1765</v>
      </c>
      <c r="C25" s="204" t="s">
        <v>1766</v>
      </c>
      <c r="D25" s="204">
        <v>1</v>
      </c>
      <c r="E25" s="48" t="s">
        <v>1416</v>
      </c>
      <c r="F25" s="47">
        <v>0.88</v>
      </c>
      <c r="G25" s="224">
        <v>62</v>
      </c>
      <c r="H25" s="49">
        <f>ROUNDUP(Tabela17812[[#This Row],[OLD PRICE]]*(1+PRICES!$C$6),0)</f>
        <v>75</v>
      </c>
      <c r="I25" s="158">
        <v>0.15</v>
      </c>
      <c r="J25" s="49">
        <f>Tabela17812[[#This Row],[OLD PRICE]]*Tabela17812[[#This Row],[DISCOUNT per piece '[%']]]</f>
        <v>9.2999999999999989</v>
      </c>
      <c r="K25" s="49">
        <f>Tabela17812[[#This Row],[OLD PRICE]]*(1-Tabela17812[[#This Row],[DISCOUNT per piece '[%']]])</f>
        <v>52.699999999999996</v>
      </c>
      <c r="L25" s="178">
        <f>Tabela17812[[#This Row],[SETS]]*Tabela17812[[#This Row],[PROMOTIONAL PRICE]]</f>
        <v>0</v>
      </c>
      <c r="M25" s="507" cm="1">
        <f t="array" ref="M25">ROUNDUP(Tabela17812[[#This Row],[NEW PRICE]]*eurofxref_daily[],2)</f>
        <v>120.66</v>
      </c>
      <c r="N25" s="506">
        <f>Tabela17812[[#This Row],[CAD PRICE]]*O25</f>
        <v>0</v>
      </c>
      <c r="O25" s="62">
        <f>SUM(Tabela17812[[#This Row],[RAL 1023]:[NEON ORANGE]])</f>
        <v>0</v>
      </c>
      <c r="P25" s="62">
        <f>Tabela17812[[#This Row],[SETS]]*Tabela17812[[#This Row],[Number of pcs]]</f>
        <v>0</v>
      </c>
      <c r="Q25" s="328">
        <f t="shared" si="2"/>
        <v>0</v>
      </c>
      <c r="R25" s="482"/>
      <c r="S25" s="486"/>
      <c r="T25" s="466"/>
      <c r="U25" s="435"/>
      <c r="V25" s="467"/>
      <c r="W25" s="468"/>
      <c r="X25" s="436"/>
      <c r="Y25" s="470"/>
      <c r="Z25" s="469"/>
      <c r="AA25" s="449"/>
      <c r="AB25" s="437"/>
      <c r="AC25" s="438"/>
      <c r="AD25" s="439"/>
      <c r="AE25" s="440"/>
      <c r="AF25" s="30"/>
    </row>
    <row r="26" spans="2:32" ht="12" thickBot="1" x14ac:dyDescent="0.25">
      <c r="B26" s="151" t="s">
        <v>1475</v>
      </c>
      <c r="C26" s="126"/>
      <c r="D26" s="126"/>
      <c r="E26" s="124"/>
      <c r="F26" s="124"/>
      <c r="G26" s="364"/>
      <c r="H26" s="362"/>
      <c r="I26" s="364"/>
      <c r="J26" s="364">
        <f>Tabela17812[[#This Row],[OLD PRICE]]*Tabela17812[[#This Row],[DISCOUNT per piece '[%']]]</f>
        <v>0</v>
      </c>
      <c r="K26" s="364">
        <f>Tabela17812[[#This Row],[OLD PRICE]]*(1-Tabela17812[[#This Row],[DISCOUNT per piece '[%']]])</f>
        <v>0</v>
      </c>
      <c r="L26" s="364">
        <f>Tabela17812[[#This Row],[SETS]]*Tabela17812[[#This Row],[PROMOTIONAL PRICE]]</f>
        <v>0</v>
      </c>
      <c r="M26" s="362"/>
      <c r="N26" s="362"/>
      <c r="O26" s="366"/>
      <c r="P26" s="80"/>
      <c r="Q26" s="140"/>
      <c r="R26" s="80"/>
      <c r="S26" s="80"/>
      <c r="T26" s="80"/>
      <c r="U26" s="80"/>
      <c r="V26" s="80"/>
      <c r="W26" s="80"/>
      <c r="X26" s="80"/>
      <c r="Y26" s="80"/>
      <c r="Z26" s="457"/>
      <c r="AA26" s="454"/>
      <c r="AB26" s="353"/>
      <c r="AC26" s="353"/>
      <c r="AD26" s="353"/>
      <c r="AE26" s="353"/>
      <c r="AF26" s="30"/>
    </row>
    <row r="27" spans="2:32" ht="12" thickBot="1" x14ac:dyDescent="0.25">
      <c r="B27" s="92" t="s">
        <v>1474</v>
      </c>
      <c r="C27" s="207" t="s">
        <v>1473</v>
      </c>
      <c r="D27" s="207">
        <v>2</v>
      </c>
      <c r="E27" s="78" t="s">
        <v>1421</v>
      </c>
      <c r="F27" s="77">
        <v>1.04</v>
      </c>
      <c r="G27" s="224">
        <v>103</v>
      </c>
      <c r="H27" s="49">
        <f>ROUNDUP(Tabela17812[[#This Row],[OLD PRICE]]*(1+PRICES!$C$6),0)</f>
        <v>124</v>
      </c>
      <c r="I27" s="175">
        <v>0.15</v>
      </c>
      <c r="J27" s="79">
        <f>Tabela17812[[#This Row],[OLD PRICE]]*Tabela17812[[#This Row],[DISCOUNT per piece '[%']]]</f>
        <v>15.45</v>
      </c>
      <c r="K27" s="79">
        <f>Tabela17812[[#This Row],[OLD PRICE]]*(1-Tabela17812[[#This Row],[DISCOUNT per piece '[%']]])</f>
        <v>87.55</v>
      </c>
      <c r="L27" s="176">
        <f>Tabela17812[[#This Row],[SETS]]*Tabela17812[[#This Row],[PROMOTIONAL PRICE]]</f>
        <v>0</v>
      </c>
      <c r="M27" s="507" cm="1">
        <f t="array" ref="M27">ROUNDUP(Tabela17812[[#This Row],[NEW PRICE]]*eurofxref_daily[],2)</f>
        <v>199.5</v>
      </c>
      <c r="N27" s="506">
        <f>Tabela17812[[#This Row],[CAD PRICE]]*O27</f>
        <v>0</v>
      </c>
      <c r="O27" s="62">
        <f>SUM(Tabela17812[[#This Row],[RAL 1023]:[NEON ORANGE]])</f>
        <v>0</v>
      </c>
      <c r="P27" s="62">
        <f>Tabela17812[[#This Row],[SETS]]*Tabela17812[[#This Row],[Number of pcs]]</f>
        <v>0</v>
      </c>
      <c r="Q27" s="332">
        <f t="shared" ref="Q27:Q56" si="3">O27*F27</f>
        <v>0</v>
      </c>
      <c r="R27" s="482"/>
      <c r="S27" s="486"/>
      <c r="T27" s="466"/>
      <c r="U27" s="435"/>
      <c r="V27" s="467"/>
      <c r="W27" s="468"/>
      <c r="X27" s="436"/>
      <c r="Y27" s="470"/>
      <c r="Z27" s="469"/>
      <c r="AA27" s="449"/>
      <c r="AB27" s="437"/>
      <c r="AC27" s="438"/>
      <c r="AD27" s="439"/>
      <c r="AE27" s="440"/>
      <c r="AF27" s="30"/>
    </row>
    <row r="28" spans="2:32" ht="12" thickBot="1" x14ac:dyDescent="0.25">
      <c r="B28" s="92" t="s">
        <v>1472</v>
      </c>
      <c r="C28" s="207" t="s">
        <v>1471</v>
      </c>
      <c r="D28" s="207">
        <v>5</v>
      </c>
      <c r="E28" s="48" t="s">
        <v>660</v>
      </c>
      <c r="F28" s="47">
        <v>1.33</v>
      </c>
      <c r="G28" s="224">
        <v>115</v>
      </c>
      <c r="H28" s="49">
        <f>ROUNDUP(Tabela17812[[#This Row],[OLD PRICE]]*(1+PRICES!$C$6),0)</f>
        <v>138</v>
      </c>
      <c r="I28" s="158">
        <v>0.15</v>
      </c>
      <c r="J28" s="49">
        <f>Tabela17812[[#This Row],[OLD PRICE]]*Tabela17812[[#This Row],[DISCOUNT per piece '[%']]]</f>
        <v>17.25</v>
      </c>
      <c r="K28" s="49">
        <f>Tabela17812[[#This Row],[OLD PRICE]]*(1-Tabela17812[[#This Row],[DISCOUNT per piece '[%']]])</f>
        <v>97.75</v>
      </c>
      <c r="L28" s="178">
        <f>Tabela17812[[#This Row],[SETS]]*Tabela17812[[#This Row],[PROMOTIONAL PRICE]]</f>
        <v>0</v>
      </c>
      <c r="M28" s="507" cm="1">
        <f t="array" ref="M28">ROUNDUP(Tabela17812[[#This Row],[NEW PRICE]]*eurofxref_daily[],2)</f>
        <v>222.01999999999998</v>
      </c>
      <c r="N28" s="506">
        <f>Tabela17812[[#This Row],[CAD PRICE]]*O28</f>
        <v>0</v>
      </c>
      <c r="O28" s="62">
        <f>SUM(Tabela17812[[#This Row],[RAL 1023]:[NEON ORANGE]])</f>
        <v>0</v>
      </c>
      <c r="P28" s="62">
        <f>Tabela17812[[#This Row],[SETS]]*Tabela17812[[#This Row],[Number of pcs]]</f>
        <v>0</v>
      </c>
      <c r="Q28" s="332">
        <f t="shared" si="3"/>
        <v>0</v>
      </c>
      <c r="R28" s="482"/>
      <c r="S28" s="486"/>
      <c r="T28" s="466"/>
      <c r="U28" s="435"/>
      <c r="V28" s="467"/>
      <c r="W28" s="468"/>
      <c r="X28" s="436"/>
      <c r="Y28" s="470"/>
      <c r="Z28" s="469"/>
      <c r="AA28" s="449"/>
      <c r="AB28" s="437"/>
      <c r="AC28" s="438"/>
      <c r="AD28" s="439"/>
      <c r="AE28" s="440"/>
      <c r="AF28" s="30"/>
    </row>
    <row r="29" spans="2:32" ht="12" thickBot="1" x14ac:dyDescent="0.25">
      <c r="B29" s="92" t="s">
        <v>1470</v>
      </c>
      <c r="C29" s="207" t="s">
        <v>1469</v>
      </c>
      <c r="D29" s="207">
        <v>2</v>
      </c>
      <c r="E29" s="48" t="s">
        <v>1421</v>
      </c>
      <c r="F29" s="47">
        <v>0.97</v>
      </c>
      <c r="G29" s="224">
        <v>87</v>
      </c>
      <c r="H29" s="49">
        <f>ROUNDUP(Tabela17812[[#This Row],[OLD PRICE]]*(1+PRICES!$C$6),0)</f>
        <v>105</v>
      </c>
      <c r="I29" s="158">
        <v>0.15</v>
      </c>
      <c r="J29" s="49">
        <f>Tabela17812[[#This Row],[OLD PRICE]]*Tabela17812[[#This Row],[DISCOUNT per piece '[%']]]</f>
        <v>13.049999999999999</v>
      </c>
      <c r="K29" s="49">
        <f>Tabela17812[[#This Row],[OLD PRICE]]*(1-Tabela17812[[#This Row],[DISCOUNT per piece '[%']]])</f>
        <v>73.95</v>
      </c>
      <c r="L29" s="178">
        <f>Tabela17812[[#This Row],[SETS]]*Tabela17812[[#This Row],[PROMOTIONAL PRICE]]</f>
        <v>0</v>
      </c>
      <c r="M29" s="507" cm="1">
        <f t="array" ref="M29">ROUNDUP(Tabela17812[[#This Row],[NEW PRICE]]*eurofxref_daily[],2)</f>
        <v>168.92999999999998</v>
      </c>
      <c r="N29" s="506">
        <f>Tabela17812[[#This Row],[CAD PRICE]]*O29</f>
        <v>0</v>
      </c>
      <c r="O29" s="62">
        <f>SUM(Tabela17812[[#This Row],[RAL 1023]:[NEON ORANGE]])</f>
        <v>0</v>
      </c>
      <c r="P29" s="62">
        <f>Tabela17812[[#This Row],[SETS]]*Tabela17812[[#This Row],[Number of pcs]]</f>
        <v>0</v>
      </c>
      <c r="Q29" s="328">
        <f t="shared" si="3"/>
        <v>0</v>
      </c>
      <c r="R29" s="482"/>
      <c r="S29" s="486"/>
      <c r="T29" s="466"/>
      <c r="U29" s="435"/>
      <c r="V29" s="467"/>
      <c r="W29" s="468"/>
      <c r="X29" s="436"/>
      <c r="Y29" s="470"/>
      <c r="Z29" s="469"/>
      <c r="AA29" s="449"/>
      <c r="AB29" s="437"/>
      <c r="AC29" s="438"/>
      <c r="AD29" s="439"/>
      <c r="AE29" s="440"/>
      <c r="AF29" s="30"/>
    </row>
    <row r="30" spans="2:32" ht="12" thickBot="1" x14ac:dyDescent="0.25">
      <c r="B30" s="92" t="s">
        <v>1468</v>
      </c>
      <c r="C30" s="207" t="s">
        <v>1467</v>
      </c>
      <c r="D30" s="207">
        <v>4</v>
      </c>
      <c r="E30" s="48" t="s">
        <v>660</v>
      </c>
      <c r="F30" s="47">
        <v>0.83</v>
      </c>
      <c r="G30" s="224">
        <v>86</v>
      </c>
      <c r="H30" s="49">
        <f>ROUNDUP(Tabela17812[[#This Row],[OLD PRICE]]*(1+PRICES!$C$6),0)</f>
        <v>104</v>
      </c>
      <c r="I30" s="158">
        <v>0.15</v>
      </c>
      <c r="J30" s="49">
        <f>Tabela17812[[#This Row],[OLD PRICE]]*Tabela17812[[#This Row],[DISCOUNT per piece '[%']]]</f>
        <v>12.9</v>
      </c>
      <c r="K30" s="49">
        <f>Tabela17812[[#This Row],[OLD PRICE]]*(1-Tabela17812[[#This Row],[DISCOUNT per piece '[%']]])</f>
        <v>73.099999999999994</v>
      </c>
      <c r="L30" s="178">
        <f>Tabela17812[[#This Row],[SETS]]*Tabela17812[[#This Row],[PROMOTIONAL PRICE]]</f>
        <v>0</v>
      </c>
      <c r="M30" s="507" cm="1">
        <f t="array" ref="M30">ROUNDUP(Tabela17812[[#This Row],[NEW PRICE]]*eurofxref_daily[],2)</f>
        <v>167.32</v>
      </c>
      <c r="N30" s="506">
        <f>Tabela17812[[#This Row],[CAD PRICE]]*O30</f>
        <v>0</v>
      </c>
      <c r="O30" s="62">
        <f>SUM(Tabela17812[[#This Row],[RAL 1023]:[NEON ORANGE]])</f>
        <v>0</v>
      </c>
      <c r="P30" s="62">
        <f>Tabela17812[[#This Row],[SETS]]*Tabela17812[[#This Row],[Number of pcs]]</f>
        <v>0</v>
      </c>
      <c r="Q30" s="328">
        <f t="shared" si="3"/>
        <v>0</v>
      </c>
      <c r="R30" s="482"/>
      <c r="S30" s="486"/>
      <c r="T30" s="466"/>
      <c r="U30" s="435"/>
      <c r="V30" s="467"/>
      <c r="W30" s="468"/>
      <c r="X30" s="436"/>
      <c r="Y30" s="470"/>
      <c r="Z30" s="469"/>
      <c r="AA30" s="449"/>
      <c r="AB30" s="437"/>
      <c r="AC30" s="438"/>
      <c r="AD30" s="439"/>
      <c r="AE30" s="440"/>
      <c r="AF30" s="30"/>
    </row>
    <row r="31" spans="2:32" ht="12" thickBot="1" x14ac:dyDescent="0.25">
      <c r="B31" s="92" t="s">
        <v>1466</v>
      </c>
      <c r="C31" s="207" t="s">
        <v>1465</v>
      </c>
      <c r="D31" s="207">
        <v>15</v>
      </c>
      <c r="E31" s="48" t="s">
        <v>1444</v>
      </c>
      <c r="F31" s="47">
        <v>0.81</v>
      </c>
      <c r="G31" s="224">
        <v>117</v>
      </c>
      <c r="H31" s="49">
        <f>ROUNDUP(Tabela17812[[#This Row],[OLD PRICE]]*(1+PRICES!$C$6),0)</f>
        <v>141</v>
      </c>
      <c r="I31" s="158">
        <v>0.15</v>
      </c>
      <c r="J31" s="49">
        <f>Tabela17812[[#This Row],[OLD PRICE]]*Tabela17812[[#This Row],[DISCOUNT per piece '[%']]]</f>
        <v>17.55</v>
      </c>
      <c r="K31" s="49">
        <f>Tabela17812[[#This Row],[OLD PRICE]]*(1-Tabela17812[[#This Row],[DISCOUNT per piece '[%']]])</f>
        <v>99.45</v>
      </c>
      <c r="L31" s="178">
        <f>Tabela17812[[#This Row],[SETS]]*Tabela17812[[#This Row],[PROMOTIONAL PRICE]]</f>
        <v>0</v>
      </c>
      <c r="M31" s="507" cm="1">
        <f t="array" ref="M31">ROUNDUP(Tabela17812[[#This Row],[NEW PRICE]]*eurofxref_daily[],2)</f>
        <v>226.85</v>
      </c>
      <c r="N31" s="506">
        <f>Tabela17812[[#This Row],[CAD PRICE]]*O31</f>
        <v>0</v>
      </c>
      <c r="O31" s="62">
        <f>SUM(Tabela17812[[#This Row],[RAL 1023]:[NEON ORANGE]])</f>
        <v>0</v>
      </c>
      <c r="P31" s="62">
        <f>Tabela17812[[#This Row],[SETS]]*Tabela17812[[#This Row],[Number of pcs]]</f>
        <v>0</v>
      </c>
      <c r="Q31" s="328">
        <f t="shared" si="3"/>
        <v>0</v>
      </c>
      <c r="R31" s="482"/>
      <c r="S31" s="486"/>
      <c r="T31" s="466"/>
      <c r="U31" s="435"/>
      <c r="V31" s="467"/>
      <c r="W31" s="468"/>
      <c r="X31" s="436"/>
      <c r="Y31" s="470"/>
      <c r="Z31" s="469"/>
      <c r="AA31" s="449"/>
      <c r="AB31" s="437"/>
      <c r="AC31" s="438"/>
      <c r="AD31" s="439"/>
      <c r="AE31" s="440"/>
      <c r="AF31" s="30"/>
    </row>
    <row r="32" spans="2:32" ht="12" thickBot="1" x14ac:dyDescent="0.25">
      <c r="B32" s="92" t="s">
        <v>1464</v>
      </c>
      <c r="C32" s="207" t="s">
        <v>1463</v>
      </c>
      <c r="D32" s="207">
        <v>4</v>
      </c>
      <c r="E32" s="48" t="s">
        <v>660</v>
      </c>
      <c r="F32" s="47">
        <v>1.51</v>
      </c>
      <c r="G32" s="224">
        <v>128</v>
      </c>
      <c r="H32" s="49">
        <f>ROUNDUP(Tabela17812[[#This Row],[OLD PRICE]]*(1+PRICES!$C$6),0)</f>
        <v>154</v>
      </c>
      <c r="I32" s="158">
        <v>0.15</v>
      </c>
      <c r="J32" s="49">
        <f>Tabela17812[[#This Row],[OLD PRICE]]*Tabela17812[[#This Row],[DISCOUNT per piece '[%']]]</f>
        <v>19.2</v>
      </c>
      <c r="K32" s="49">
        <f>Tabela17812[[#This Row],[OLD PRICE]]*(1-Tabela17812[[#This Row],[DISCOUNT per piece '[%']]])</f>
        <v>108.8</v>
      </c>
      <c r="L32" s="178">
        <f>Tabela17812[[#This Row],[SETS]]*Tabela17812[[#This Row],[PROMOTIONAL PRICE]]</f>
        <v>0</v>
      </c>
      <c r="M32" s="507" cm="1">
        <f t="array" ref="M32">ROUNDUP(Tabela17812[[#This Row],[NEW PRICE]]*eurofxref_daily[],2)</f>
        <v>247.76</v>
      </c>
      <c r="N32" s="506">
        <f>Tabela17812[[#This Row],[CAD PRICE]]*O32</f>
        <v>0</v>
      </c>
      <c r="O32" s="62">
        <f>SUM(Tabela17812[[#This Row],[RAL 1023]:[NEON ORANGE]])</f>
        <v>0</v>
      </c>
      <c r="P32" s="62">
        <f>Tabela17812[[#This Row],[SETS]]*Tabela17812[[#This Row],[Number of pcs]]</f>
        <v>0</v>
      </c>
      <c r="Q32" s="328">
        <f t="shared" si="3"/>
        <v>0</v>
      </c>
      <c r="R32" s="482"/>
      <c r="S32" s="486"/>
      <c r="T32" s="466"/>
      <c r="U32" s="435"/>
      <c r="V32" s="467"/>
      <c r="W32" s="468"/>
      <c r="X32" s="436"/>
      <c r="Y32" s="470"/>
      <c r="Z32" s="469"/>
      <c r="AA32" s="449"/>
      <c r="AB32" s="437"/>
      <c r="AC32" s="438"/>
      <c r="AD32" s="439"/>
      <c r="AE32" s="440"/>
      <c r="AF32" s="30"/>
    </row>
    <row r="33" spans="2:32" ht="12" thickBot="1" x14ac:dyDescent="0.25">
      <c r="B33" s="92" t="s">
        <v>1462</v>
      </c>
      <c r="C33" s="207" t="s">
        <v>1461</v>
      </c>
      <c r="D33" s="207">
        <v>10</v>
      </c>
      <c r="E33" s="48" t="s">
        <v>659</v>
      </c>
      <c r="F33" s="47">
        <v>1.01</v>
      </c>
      <c r="G33" s="224">
        <v>146</v>
      </c>
      <c r="H33" s="49">
        <f>ROUNDUP(Tabela17812[[#This Row],[OLD PRICE]]*(1+PRICES!$C$6),0)</f>
        <v>176</v>
      </c>
      <c r="I33" s="158">
        <v>0.15</v>
      </c>
      <c r="J33" s="49">
        <f>Tabela17812[[#This Row],[OLD PRICE]]*Tabela17812[[#This Row],[DISCOUNT per piece '[%']]]</f>
        <v>21.9</v>
      </c>
      <c r="K33" s="49">
        <f>Tabela17812[[#This Row],[OLD PRICE]]*(1-Tabela17812[[#This Row],[DISCOUNT per piece '[%']]])</f>
        <v>124.1</v>
      </c>
      <c r="L33" s="178">
        <f>Tabela17812[[#This Row],[SETS]]*Tabela17812[[#This Row],[PROMOTIONAL PRICE]]</f>
        <v>0</v>
      </c>
      <c r="M33" s="507" cm="1">
        <f t="array" ref="M33">ROUNDUP(Tabela17812[[#This Row],[NEW PRICE]]*eurofxref_daily[],2)</f>
        <v>283.14999999999998</v>
      </c>
      <c r="N33" s="506">
        <f>Tabela17812[[#This Row],[CAD PRICE]]*O33</f>
        <v>0</v>
      </c>
      <c r="O33" s="62">
        <f>SUM(Tabela17812[[#This Row],[RAL 1023]:[NEON ORANGE]])</f>
        <v>0</v>
      </c>
      <c r="P33" s="62">
        <f>Tabela17812[[#This Row],[SETS]]*Tabela17812[[#This Row],[Number of pcs]]</f>
        <v>0</v>
      </c>
      <c r="Q33" s="328">
        <f t="shared" si="3"/>
        <v>0</v>
      </c>
      <c r="R33" s="482"/>
      <c r="S33" s="486"/>
      <c r="T33" s="466"/>
      <c r="U33" s="435"/>
      <c r="V33" s="467"/>
      <c r="W33" s="468"/>
      <c r="X33" s="436"/>
      <c r="Y33" s="470"/>
      <c r="Z33" s="469"/>
      <c r="AA33" s="449"/>
      <c r="AB33" s="437"/>
      <c r="AC33" s="438"/>
      <c r="AD33" s="439"/>
      <c r="AE33" s="440"/>
      <c r="AF33" s="30"/>
    </row>
    <row r="34" spans="2:32" ht="12" thickBot="1" x14ac:dyDescent="0.25">
      <c r="B34" s="92" t="s">
        <v>1460</v>
      </c>
      <c r="C34" s="207" t="s">
        <v>1459</v>
      </c>
      <c r="D34" s="207">
        <v>10</v>
      </c>
      <c r="E34" s="48" t="s">
        <v>1447</v>
      </c>
      <c r="F34" s="47">
        <v>0.39</v>
      </c>
      <c r="G34" s="224">
        <v>49</v>
      </c>
      <c r="H34" s="49">
        <f>ROUNDUP(Tabela17812[[#This Row],[OLD PRICE]]*(1+PRICES!$C$6),0)</f>
        <v>59</v>
      </c>
      <c r="I34" s="158">
        <v>0.15</v>
      </c>
      <c r="J34" s="49">
        <f>Tabela17812[[#This Row],[OLD PRICE]]*Tabela17812[[#This Row],[DISCOUNT per piece '[%']]]</f>
        <v>7.35</v>
      </c>
      <c r="K34" s="49">
        <f>Tabela17812[[#This Row],[OLD PRICE]]*(1-Tabela17812[[#This Row],[DISCOUNT per piece '[%']]])</f>
        <v>41.65</v>
      </c>
      <c r="L34" s="178">
        <f>Tabela17812[[#This Row],[SETS]]*Tabela17812[[#This Row],[PROMOTIONAL PRICE]]</f>
        <v>0</v>
      </c>
      <c r="M34" s="507" cm="1">
        <f t="array" ref="M34">ROUNDUP(Tabela17812[[#This Row],[NEW PRICE]]*eurofxref_daily[],2)</f>
        <v>94.92</v>
      </c>
      <c r="N34" s="506">
        <f>Tabela17812[[#This Row],[CAD PRICE]]*O34</f>
        <v>0</v>
      </c>
      <c r="O34" s="62">
        <f>SUM(Tabela17812[[#This Row],[RAL 1023]:[NEON ORANGE]])</f>
        <v>0</v>
      </c>
      <c r="P34" s="62">
        <f>Tabela17812[[#This Row],[SETS]]*Tabela17812[[#This Row],[Number of pcs]]</f>
        <v>0</v>
      </c>
      <c r="Q34" s="328">
        <f t="shared" si="3"/>
        <v>0</v>
      </c>
      <c r="R34" s="482"/>
      <c r="S34" s="486"/>
      <c r="T34" s="466"/>
      <c r="U34" s="435"/>
      <c r="V34" s="467"/>
      <c r="W34" s="468"/>
      <c r="X34" s="436"/>
      <c r="Y34" s="470"/>
      <c r="Z34" s="469"/>
      <c r="AA34" s="449"/>
      <c r="AB34" s="437"/>
      <c r="AC34" s="438"/>
      <c r="AD34" s="439"/>
      <c r="AE34" s="440"/>
      <c r="AF34" s="30"/>
    </row>
    <row r="35" spans="2:32" ht="12" thickBot="1" x14ac:dyDescent="0.25">
      <c r="B35" s="92" t="s">
        <v>1458</v>
      </c>
      <c r="C35" s="207" t="s">
        <v>1457</v>
      </c>
      <c r="D35" s="207">
        <v>2</v>
      </c>
      <c r="E35" s="48" t="s">
        <v>1421</v>
      </c>
      <c r="F35" s="47">
        <v>1</v>
      </c>
      <c r="G35" s="224">
        <v>104</v>
      </c>
      <c r="H35" s="49">
        <f>ROUNDUP(Tabela17812[[#This Row],[OLD PRICE]]*(1+PRICES!$C$6),0)</f>
        <v>125</v>
      </c>
      <c r="I35" s="158">
        <v>0.15</v>
      </c>
      <c r="J35" s="49">
        <f>Tabela17812[[#This Row],[OLD PRICE]]*Tabela17812[[#This Row],[DISCOUNT per piece '[%']]]</f>
        <v>15.6</v>
      </c>
      <c r="K35" s="49">
        <f>Tabela17812[[#This Row],[OLD PRICE]]*(1-Tabela17812[[#This Row],[DISCOUNT per piece '[%']]])</f>
        <v>88.399999999999991</v>
      </c>
      <c r="L35" s="178">
        <f>Tabela17812[[#This Row],[SETS]]*Tabela17812[[#This Row],[PROMOTIONAL PRICE]]</f>
        <v>0</v>
      </c>
      <c r="M35" s="507" cm="1">
        <f t="array" ref="M35">ROUNDUP(Tabela17812[[#This Row],[NEW PRICE]]*eurofxref_daily[],2)</f>
        <v>201.1</v>
      </c>
      <c r="N35" s="506">
        <f>Tabela17812[[#This Row],[CAD PRICE]]*O35</f>
        <v>0</v>
      </c>
      <c r="O35" s="62">
        <f>SUM(Tabela17812[[#This Row],[RAL 1023]:[NEON ORANGE]])</f>
        <v>0</v>
      </c>
      <c r="P35" s="62">
        <f>Tabela17812[[#This Row],[SETS]]*Tabela17812[[#This Row],[Number of pcs]]</f>
        <v>0</v>
      </c>
      <c r="Q35" s="328">
        <f t="shared" si="3"/>
        <v>0</v>
      </c>
      <c r="R35" s="482"/>
      <c r="S35" s="486"/>
      <c r="T35" s="466"/>
      <c r="U35" s="435"/>
      <c r="V35" s="467"/>
      <c r="W35" s="468"/>
      <c r="X35" s="436"/>
      <c r="Y35" s="470"/>
      <c r="Z35" s="469"/>
      <c r="AA35" s="449"/>
      <c r="AB35" s="437"/>
      <c r="AC35" s="438"/>
      <c r="AD35" s="439"/>
      <c r="AE35" s="440"/>
      <c r="AF35" s="30"/>
    </row>
    <row r="36" spans="2:32" ht="12" thickBot="1" x14ac:dyDescent="0.25">
      <c r="B36" s="92" t="s">
        <v>1456</v>
      </c>
      <c r="C36" s="207" t="s">
        <v>1455</v>
      </c>
      <c r="D36" s="207">
        <v>2</v>
      </c>
      <c r="E36" s="48" t="s">
        <v>1421</v>
      </c>
      <c r="F36" s="47">
        <v>0.82</v>
      </c>
      <c r="G36" s="224">
        <v>100</v>
      </c>
      <c r="H36" s="49">
        <f>ROUNDUP(Tabela17812[[#This Row],[OLD PRICE]]*(1+PRICES!$C$6),0)</f>
        <v>120</v>
      </c>
      <c r="I36" s="158">
        <v>0.15</v>
      </c>
      <c r="J36" s="49">
        <f>Tabela17812[[#This Row],[OLD PRICE]]*Tabela17812[[#This Row],[DISCOUNT per piece '[%']]]</f>
        <v>15</v>
      </c>
      <c r="K36" s="49">
        <f>Tabela17812[[#This Row],[OLD PRICE]]*(1-Tabela17812[[#This Row],[DISCOUNT per piece '[%']]])</f>
        <v>85</v>
      </c>
      <c r="L36" s="178">
        <f>Tabela17812[[#This Row],[SETS]]*Tabela17812[[#This Row],[PROMOTIONAL PRICE]]</f>
        <v>0</v>
      </c>
      <c r="M36" s="507" cm="1">
        <f t="array" ref="M36">ROUNDUP(Tabela17812[[#This Row],[NEW PRICE]]*eurofxref_daily[],2)</f>
        <v>193.06</v>
      </c>
      <c r="N36" s="506">
        <f>Tabela17812[[#This Row],[CAD PRICE]]*O36</f>
        <v>0</v>
      </c>
      <c r="O36" s="62">
        <f>SUM(Tabela17812[[#This Row],[RAL 1023]:[NEON ORANGE]])</f>
        <v>0</v>
      </c>
      <c r="P36" s="62">
        <f>Tabela17812[[#This Row],[SETS]]*Tabela17812[[#This Row],[Number of pcs]]</f>
        <v>0</v>
      </c>
      <c r="Q36" s="328">
        <f t="shared" si="3"/>
        <v>0</v>
      </c>
      <c r="R36" s="482"/>
      <c r="S36" s="486"/>
      <c r="T36" s="466"/>
      <c r="U36" s="435"/>
      <c r="V36" s="467"/>
      <c r="W36" s="468"/>
      <c r="X36" s="436"/>
      <c r="Y36" s="470"/>
      <c r="Z36" s="469"/>
      <c r="AA36" s="449"/>
      <c r="AB36" s="437"/>
      <c r="AC36" s="438"/>
      <c r="AD36" s="439"/>
      <c r="AE36" s="440"/>
      <c r="AF36" s="30"/>
    </row>
    <row r="37" spans="2:32" ht="12" thickBot="1" x14ac:dyDescent="0.25">
      <c r="B37" s="92" t="s">
        <v>1454</v>
      </c>
      <c r="C37" s="207" t="s">
        <v>1453</v>
      </c>
      <c r="D37" s="207">
        <v>25</v>
      </c>
      <c r="E37" s="48" t="s">
        <v>1447</v>
      </c>
      <c r="F37" s="47">
        <v>0.45</v>
      </c>
      <c r="G37" s="224">
        <v>63</v>
      </c>
      <c r="H37" s="49">
        <f>ROUNDUP(Tabela17812[[#This Row],[OLD PRICE]]*(1+PRICES!$C$6),0)</f>
        <v>76</v>
      </c>
      <c r="I37" s="158">
        <v>0.15</v>
      </c>
      <c r="J37" s="49">
        <f>Tabela17812[[#This Row],[OLD PRICE]]*Tabela17812[[#This Row],[DISCOUNT per piece '[%']]]</f>
        <v>9.4499999999999993</v>
      </c>
      <c r="K37" s="49">
        <f>Tabela17812[[#This Row],[OLD PRICE]]*(1-Tabela17812[[#This Row],[DISCOUNT per piece '[%']]])</f>
        <v>53.55</v>
      </c>
      <c r="L37" s="178">
        <f>Tabela17812[[#This Row],[SETS]]*Tabela17812[[#This Row],[PROMOTIONAL PRICE]]</f>
        <v>0</v>
      </c>
      <c r="M37" s="507" cm="1">
        <f t="array" ref="M37">ROUNDUP(Tabela17812[[#This Row],[NEW PRICE]]*eurofxref_daily[],2)</f>
        <v>122.27000000000001</v>
      </c>
      <c r="N37" s="506">
        <f>Tabela17812[[#This Row],[CAD PRICE]]*O37</f>
        <v>0</v>
      </c>
      <c r="O37" s="62">
        <f>SUM(Tabela17812[[#This Row],[RAL 1023]:[NEON ORANGE]])</f>
        <v>0</v>
      </c>
      <c r="P37" s="62">
        <f>Tabela17812[[#This Row],[SETS]]*Tabela17812[[#This Row],[Number of pcs]]</f>
        <v>0</v>
      </c>
      <c r="Q37" s="328">
        <f t="shared" si="3"/>
        <v>0</v>
      </c>
      <c r="R37" s="482"/>
      <c r="S37" s="486"/>
      <c r="T37" s="466"/>
      <c r="U37" s="435"/>
      <c r="V37" s="467"/>
      <c r="W37" s="468"/>
      <c r="X37" s="436"/>
      <c r="Y37" s="470"/>
      <c r="Z37" s="469"/>
      <c r="AA37" s="449"/>
      <c r="AB37" s="437"/>
      <c r="AC37" s="438"/>
      <c r="AD37" s="439"/>
      <c r="AE37" s="440"/>
      <c r="AF37" s="30"/>
    </row>
    <row r="38" spans="2:32" ht="12" thickBot="1" x14ac:dyDescent="0.25">
      <c r="B38" s="151" t="s">
        <v>1452</v>
      </c>
      <c r="C38" s="126"/>
      <c r="D38" s="126"/>
      <c r="E38" s="124"/>
      <c r="F38" s="124"/>
      <c r="G38" s="364"/>
      <c r="H38" s="362"/>
      <c r="I38" s="364"/>
      <c r="J38" s="364">
        <f>Tabela17812[[#This Row],[OLD PRICE]]*Tabela17812[[#This Row],[DISCOUNT per piece '[%']]]</f>
        <v>0</v>
      </c>
      <c r="K38" s="364">
        <f>Tabela17812[[#This Row],[OLD PRICE]]*(1-Tabela17812[[#This Row],[DISCOUNT per piece '[%']]])</f>
        <v>0</v>
      </c>
      <c r="L38" s="364">
        <f>Tabela17812[[#This Row],[SETS]]*Tabela17812[[#This Row],[PROMOTIONAL PRICE]]</f>
        <v>0</v>
      </c>
      <c r="M38" s="362"/>
      <c r="N38" s="362"/>
      <c r="O38" s="366"/>
      <c r="P38" s="80"/>
      <c r="Q38" s="140"/>
      <c r="R38" s="80"/>
      <c r="S38" s="80"/>
      <c r="T38" s="80"/>
      <c r="U38" s="80"/>
      <c r="V38" s="80"/>
      <c r="W38" s="80"/>
      <c r="X38" s="80"/>
      <c r="Y38" s="80"/>
      <c r="Z38" s="457"/>
      <c r="AA38" s="454"/>
      <c r="AB38" s="353"/>
      <c r="AC38" s="353"/>
      <c r="AD38" s="353"/>
      <c r="AE38" s="353"/>
      <c r="AF38" s="30"/>
    </row>
    <row r="39" spans="2:32" ht="12" thickBot="1" x14ac:dyDescent="0.25">
      <c r="B39" s="92" t="s">
        <v>1451</v>
      </c>
      <c r="C39" s="207" t="s">
        <v>1450</v>
      </c>
      <c r="D39" s="207">
        <v>15</v>
      </c>
      <c r="E39" s="48" t="s">
        <v>1447</v>
      </c>
      <c r="F39" s="47">
        <v>0.35</v>
      </c>
      <c r="G39" s="224">
        <v>43</v>
      </c>
      <c r="H39" s="49">
        <f>ROUNDUP(Tabela17812[[#This Row],[OLD PRICE]]*(1+PRICES!$C$6),0)</f>
        <v>52</v>
      </c>
      <c r="I39" s="158">
        <v>0.15</v>
      </c>
      <c r="J39" s="49">
        <f>Tabela17812[[#This Row],[OLD PRICE]]*Tabela17812[[#This Row],[DISCOUNT per piece '[%']]]</f>
        <v>6.45</v>
      </c>
      <c r="K39" s="49">
        <f>Tabela17812[[#This Row],[OLD PRICE]]*(1-Tabela17812[[#This Row],[DISCOUNT per piece '[%']]])</f>
        <v>36.549999999999997</v>
      </c>
      <c r="L39" s="178">
        <f>Tabela17812[[#This Row],[SETS]]*Tabela17812[[#This Row],[PROMOTIONAL PRICE]]</f>
        <v>0</v>
      </c>
      <c r="M39" s="507" cm="1">
        <f t="array" ref="M39">ROUNDUP(Tabela17812[[#This Row],[NEW PRICE]]*eurofxref_daily[],2)</f>
        <v>83.660000000000011</v>
      </c>
      <c r="N39" s="506">
        <f>Tabela17812[[#This Row],[CAD PRICE]]*O39</f>
        <v>0</v>
      </c>
      <c r="O39" s="62">
        <f>SUM(Tabela17812[[#This Row],[RAL 1023]:[NEON ORANGE]])</f>
        <v>0</v>
      </c>
      <c r="P39" s="62">
        <f>Tabela17812[[#This Row],[SETS]]*Tabela17812[[#This Row],[Number of pcs]]</f>
        <v>0</v>
      </c>
      <c r="Q39" s="328">
        <f t="shared" si="3"/>
        <v>0</v>
      </c>
      <c r="R39" s="482"/>
      <c r="S39" s="486"/>
      <c r="T39" s="466"/>
      <c r="U39" s="435"/>
      <c r="V39" s="467"/>
      <c r="W39" s="468"/>
      <c r="X39" s="436"/>
      <c r="Y39" s="470"/>
      <c r="Z39" s="469"/>
      <c r="AA39" s="449"/>
      <c r="AB39" s="437"/>
      <c r="AC39" s="438"/>
      <c r="AD39" s="439"/>
      <c r="AE39" s="440"/>
      <c r="AF39" s="30"/>
    </row>
    <row r="40" spans="2:32" ht="12" thickBot="1" x14ac:dyDescent="0.25">
      <c r="B40" s="155" t="s">
        <v>1449</v>
      </c>
      <c r="C40" s="207" t="s">
        <v>1448</v>
      </c>
      <c r="D40" s="207">
        <v>15</v>
      </c>
      <c r="E40" s="48" t="s">
        <v>1447</v>
      </c>
      <c r="F40" s="47">
        <v>0.28999999999999998</v>
      </c>
      <c r="G40" s="224">
        <v>44</v>
      </c>
      <c r="H40" s="49">
        <f>ROUNDUP(Tabela17812[[#This Row],[OLD PRICE]]*(1+PRICES!$C$6),0)</f>
        <v>53</v>
      </c>
      <c r="I40" s="158">
        <v>0.15</v>
      </c>
      <c r="J40" s="49">
        <f>Tabela17812[[#This Row],[OLD PRICE]]*Tabela17812[[#This Row],[DISCOUNT per piece '[%']]]</f>
        <v>6.6</v>
      </c>
      <c r="K40" s="49">
        <f>Tabela17812[[#This Row],[OLD PRICE]]*(1-Tabela17812[[#This Row],[DISCOUNT per piece '[%']]])</f>
        <v>37.4</v>
      </c>
      <c r="L40" s="178">
        <f>Tabela17812[[#This Row],[SETS]]*Tabela17812[[#This Row],[PROMOTIONAL PRICE]]</f>
        <v>0</v>
      </c>
      <c r="M40" s="507" cm="1">
        <f t="array" ref="M40">ROUNDUP(Tabela17812[[#This Row],[NEW PRICE]]*eurofxref_daily[],2)</f>
        <v>85.27000000000001</v>
      </c>
      <c r="N40" s="506">
        <f>Tabela17812[[#This Row],[CAD PRICE]]*O40</f>
        <v>0</v>
      </c>
      <c r="O40" s="62">
        <f>SUM(Tabela17812[[#This Row],[RAL 1023]:[NEON ORANGE]])</f>
        <v>0</v>
      </c>
      <c r="P40" s="62">
        <f>Tabela17812[[#This Row],[SETS]]*Tabela17812[[#This Row],[Number of pcs]]</f>
        <v>0</v>
      </c>
      <c r="Q40" s="328">
        <f t="shared" si="3"/>
        <v>0</v>
      </c>
      <c r="R40" s="482"/>
      <c r="S40" s="486"/>
      <c r="T40" s="466"/>
      <c r="U40" s="435"/>
      <c r="V40" s="467"/>
      <c r="W40" s="468"/>
      <c r="X40" s="436"/>
      <c r="Y40" s="470"/>
      <c r="Z40" s="469"/>
      <c r="AA40" s="449"/>
      <c r="AB40" s="437"/>
      <c r="AC40" s="438"/>
      <c r="AD40" s="439"/>
      <c r="AE40" s="440"/>
      <c r="AF40" s="30"/>
    </row>
    <row r="41" spans="2:32" ht="12" thickBot="1" x14ac:dyDescent="0.25">
      <c r="B41" s="155" t="s">
        <v>1446</v>
      </c>
      <c r="C41" s="207" t="s">
        <v>1445</v>
      </c>
      <c r="D41" s="207">
        <v>10</v>
      </c>
      <c r="E41" s="48" t="s">
        <v>1444</v>
      </c>
      <c r="F41" s="47">
        <v>0.5</v>
      </c>
      <c r="G41" s="224">
        <v>39</v>
      </c>
      <c r="H41" s="49">
        <f>ROUNDUP(Tabela17812[[#This Row],[OLD PRICE]]*(1+PRICES!$C$6),0)</f>
        <v>47</v>
      </c>
      <c r="I41" s="158">
        <v>0.15</v>
      </c>
      <c r="J41" s="49">
        <f>Tabela17812[[#This Row],[OLD PRICE]]*Tabela17812[[#This Row],[DISCOUNT per piece '[%']]]</f>
        <v>5.85</v>
      </c>
      <c r="K41" s="49">
        <f>Tabela17812[[#This Row],[OLD PRICE]]*(1-Tabela17812[[#This Row],[DISCOUNT per piece '[%']]])</f>
        <v>33.15</v>
      </c>
      <c r="L41" s="178">
        <f>Tabela17812[[#This Row],[SETS]]*Tabela17812[[#This Row],[PROMOTIONAL PRICE]]</f>
        <v>0</v>
      </c>
      <c r="M41" s="507" cm="1">
        <f t="array" ref="M41">ROUNDUP(Tabela17812[[#This Row],[NEW PRICE]]*eurofxref_daily[],2)</f>
        <v>75.62</v>
      </c>
      <c r="N41" s="506">
        <f>Tabela17812[[#This Row],[CAD PRICE]]*O41</f>
        <v>0</v>
      </c>
      <c r="O41" s="62">
        <f>SUM(Tabela17812[[#This Row],[RAL 1023]:[NEON ORANGE]])</f>
        <v>0</v>
      </c>
      <c r="P41" s="62">
        <f>Tabela17812[[#This Row],[SETS]]*Tabela17812[[#This Row],[Number of pcs]]</f>
        <v>0</v>
      </c>
      <c r="Q41" s="328">
        <f t="shared" si="3"/>
        <v>0</v>
      </c>
      <c r="R41" s="482"/>
      <c r="S41" s="486"/>
      <c r="T41" s="466"/>
      <c r="U41" s="435"/>
      <c r="V41" s="467"/>
      <c r="W41" s="468"/>
      <c r="X41" s="436"/>
      <c r="Y41" s="470"/>
      <c r="Z41" s="469"/>
      <c r="AA41" s="449"/>
      <c r="AB41" s="437"/>
      <c r="AC41" s="438"/>
      <c r="AD41" s="439"/>
      <c r="AE41" s="440"/>
      <c r="AF41" s="30"/>
    </row>
    <row r="42" spans="2:32" ht="12" thickBot="1" x14ac:dyDescent="0.25">
      <c r="B42" s="155" t="s">
        <v>1443</v>
      </c>
      <c r="C42" s="207" t="s">
        <v>1442</v>
      </c>
      <c r="D42" s="207">
        <v>10</v>
      </c>
      <c r="E42" s="48" t="s">
        <v>659</v>
      </c>
      <c r="F42" s="47">
        <v>1.43</v>
      </c>
      <c r="G42" s="224">
        <v>79</v>
      </c>
      <c r="H42" s="49">
        <f>ROUNDUP(Tabela17812[[#This Row],[OLD PRICE]]*(1+PRICES!$C$6),0)</f>
        <v>95</v>
      </c>
      <c r="I42" s="158">
        <v>0.15</v>
      </c>
      <c r="J42" s="49">
        <f>Tabela17812[[#This Row],[OLD PRICE]]*Tabela17812[[#This Row],[DISCOUNT per piece '[%']]]</f>
        <v>11.85</v>
      </c>
      <c r="K42" s="49">
        <f>Tabela17812[[#This Row],[OLD PRICE]]*(1-Tabela17812[[#This Row],[DISCOUNT per piece '[%']]])</f>
        <v>67.149999999999991</v>
      </c>
      <c r="L42" s="178">
        <f>Tabela17812[[#This Row],[SETS]]*Tabela17812[[#This Row],[PROMOTIONAL PRICE]]</f>
        <v>0</v>
      </c>
      <c r="M42" s="507" cm="1">
        <f t="array" ref="M42">ROUNDUP(Tabela17812[[#This Row],[NEW PRICE]]*eurofxref_daily[],2)</f>
        <v>152.84</v>
      </c>
      <c r="N42" s="506">
        <f>Tabela17812[[#This Row],[CAD PRICE]]*O42</f>
        <v>0</v>
      </c>
      <c r="O42" s="62">
        <f>SUM(Tabela17812[[#This Row],[RAL 1023]:[NEON ORANGE]])</f>
        <v>0</v>
      </c>
      <c r="P42" s="62">
        <f>Tabela17812[[#This Row],[SETS]]*Tabela17812[[#This Row],[Number of pcs]]</f>
        <v>0</v>
      </c>
      <c r="Q42" s="328">
        <f t="shared" si="3"/>
        <v>0</v>
      </c>
      <c r="R42" s="482"/>
      <c r="S42" s="486"/>
      <c r="T42" s="466"/>
      <c r="U42" s="435"/>
      <c r="V42" s="467"/>
      <c r="W42" s="468"/>
      <c r="X42" s="436"/>
      <c r="Y42" s="470"/>
      <c r="Z42" s="469"/>
      <c r="AA42" s="449"/>
      <c r="AB42" s="437"/>
      <c r="AC42" s="438"/>
      <c r="AD42" s="439"/>
      <c r="AE42" s="440"/>
      <c r="AF42" s="30"/>
    </row>
    <row r="43" spans="2:32" ht="12" thickBot="1" x14ac:dyDescent="0.25">
      <c r="B43" s="155" t="s">
        <v>1441</v>
      </c>
      <c r="C43" s="207" t="s">
        <v>1440</v>
      </c>
      <c r="D43" s="207">
        <v>3</v>
      </c>
      <c r="E43" s="48" t="s">
        <v>660</v>
      </c>
      <c r="F43" s="47">
        <v>0.69</v>
      </c>
      <c r="G43" s="224">
        <v>34</v>
      </c>
      <c r="H43" s="49">
        <f>ROUNDUP(Tabela17812[[#This Row],[OLD PRICE]]*(1+PRICES!$C$6),0)</f>
        <v>41</v>
      </c>
      <c r="I43" s="158">
        <v>0.15</v>
      </c>
      <c r="J43" s="49">
        <f>Tabela17812[[#This Row],[OLD PRICE]]*Tabela17812[[#This Row],[DISCOUNT per piece '[%']]]</f>
        <v>5.0999999999999996</v>
      </c>
      <c r="K43" s="49">
        <f>Tabela17812[[#This Row],[OLD PRICE]]*(1-Tabela17812[[#This Row],[DISCOUNT per piece '[%']]])</f>
        <v>28.9</v>
      </c>
      <c r="L43" s="178">
        <f>Tabela17812[[#This Row],[SETS]]*Tabela17812[[#This Row],[PROMOTIONAL PRICE]]</f>
        <v>0</v>
      </c>
      <c r="M43" s="507" cm="1">
        <f t="array" ref="M43">ROUNDUP(Tabela17812[[#This Row],[NEW PRICE]]*eurofxref_daily[],2)</f>
        <v>65.97</v>
      </c>
      <c r="N43" s="506">
        <f>Tabela17812[[#This Row],[CAD PRICE]]*O43</f>
        <v>0</v>
      </c>
      <c r="O43" s="62">
        <f>SUM(Tabela17812[[#This Row],[RAL 1023]:[NEON ORANGE]])</f>
        <v>0</v>
      </c>
      <c r="P43" s="62">
        <f>Tabela17812[[#This Row],[SETS]]*Tabela17812[[#This Row],[Number of pcs]]</f>
        <v>0</v>
      </c>
      <c r="Q43" s="328">
        <f t="shared" si="3"/>
        <v>0</v>
      </c>
      <c r="R43" s="482"/>
      <c r="S43" s="486"/>
      <c r="T43" s="466"/>
      <c r="U43" s="435"/>
      <c r="V43" s="467"/>
      <c r="W43" s="468"/>
      <c r="X43" s="436"/>
      <c r="Y43" s="470"/>
      <c r="Z43" s="469"/>
      <c r="AA43" s="449"/>
      <c r="AB43" s="437"/>
      <c r="AC43" s="438"/>
      <c r="AD43" s="439"/>
      <c r="AE43" s="440"/>
      <c r="AF43" s="30"/>
    </row>
    <row r="44" spans="2:32" ht="12" thickBot="1" x14ac:dyDescent="0.25">
      <c r="B44" s="155" t="s">
        <v>1439</v>
      </c>
      <c r="C44" s="207" t="s">
        <v>1438</v>
      </c>
      <c r="D44" s="207">
        <v>3</v>
      </c>
      <c r="E44" s="48" t="s">
        <v>660</v>
      </c>
      <c r="F44" s="47">
        <v>0.76</v>
      </c>
      <c r="G44" s="224">
        <v>40</v>
      </c>
      <c r="H44" s="49">
        <f>ROUNDUP(Tabela17812[[#This Row],[OLD PRICE]]*(1+PRICES!$C$6),0)</f>
        <v>48</v>
      </c>
      <c r="I44" s="158">
        <v>0.15</v>
      </c>
      <c r="J44" s="49">
        <f>Tabela17812[[#This Row],[OLD PRICE]]*Tabela17812[[#This Row],[DISCOUNT per piece '[%']]]</f>
        <v>6</v>
      </c>
      <c r="K44" s="49">
        <f>Tabela17812[[#This Row],[OLD PRICE]]*(1-Tabela17812[[#This Row],[DISCOUNT per piece '[%']]])</f>
        <v>34</v>
      </c>
      <c r="L44" s="178">
        <f>Tabela17812[[#This Row],[SETS]]*Tabela17812[[#This Row],[PROMOTIONAL PRICE]]</f>
        <v>0</v>
      </c>
      <c r="M44" s="507" cm="1">
        <f t="array" ref="M44">ROUNDUP(Tabela17812[[#This Row],[NEW PRICE]]*eurofxref_daily[],2)</f>
        <v>77.23</v>
      </c>
      <c r="N44" s="506">
        <f>Tabela17812[[#This Row],[CAD PRICE]]*O44</f>
        <v>0</v>
      </c>
      <c r="O44" s="62">
        <f>SUM(Tabela17812[[#This Row],[RAL 1023]:[NEON ORANGE]])</f>
        <v>0</v>
      </c>
      <c r="P44" s="62">
        <f>Tabela17812[[#This Row],[SETS]]*Tabela17812[[#This Row],[Number of pcs]]</f>
        <v>0</v>
      </c>
      <c r="Q44" s="328">
        <f t="shared" si="3"/>
        <v>0</v>
      </c>
      <c r="R44" s="482"/>
      <c r="S44" s="486"/>
      <c r="T44" s="466"/>
      <c r="U44" s="435"/>
      <c r="V44" s="467"/>
      <c r="W44" s="468"/>
      <c r="X44" s="436"/>
      <c r="Y44" s="470"/>
      <c r="Z44" s="469"/>
      <c r="AA44" s="449"/>
      <c r="AB44" s="437"/>
      <c r="AC44" s="438"/>
      <c r="AD44" s="439"/>
      <c r="AE44" s="440"/>
      <c r="AF44" s="30"/>
    </row>
    <row r="45" spans="2:32" ht="12" thickBot="1" x14ac:dyDescent="0.25">
      <c r="B45" s="155" t="s">
        <v>1437</v>
      </c>
      <c r="C45" s="207" t="s">
        <v>1436</v>
      </c>
      <c r="D45" s="207">
        <v>2</v>
      </c>
      <c r="E45" s="48" t="s">
        <v>660</v>
      </c>
      <c r="F45" s="47">
        <v>0.99</v>
      </c>
      <c r="G45" s="224">
        <v>58</v>
      </c>
      <c r="H45" s="49">
        <f>ROUNDUP(Tabela17812[[#This Row],[OLD PRICE]]*(1+PRICES!$C$6),0)</f>
        <v>70</v>
      </c>
      <c r="I45" s="158">
        <v>0.15</v>
      </c>
      <c r="J45" s="49">
        <f>Tabela17812[[#This Row],[OLD PRICE]]*Tabela17812[[#This Row],[DISCOUNT per piece '[%']]]</f>
        <v>8.6999999999999993</v>
      </c>
      <c r="K45" s="49">
        <f>Tabela17812[[#This Row],[OLD PRICE]]*(1-Tabela17812[[#This Row],[DISCOUNT per piece '[%']]])</f>
        <v>49.3</v>
      </c>
      <c r="L45" s="178">
        <f>Tabela17812[[#This Row],[SETS]]*Tabela17812[[#This Row],[PROMOTIONAL PRICE]]</f>
        <v>0</v>
      </c>
      <c r="M45" s="507" cm="1">
        <f t="array" ref="M45">ROUNDUP(Tabela17812[[#This Row],[NEW PRICE]]*eurofxref_daily[],2)</f>
        <v>112.62</v>
      </c>
      <c r="N45" s="506">
        <f>Tabela17812[[#This Row],[CAD PRICE]]*O45</f>
        <v>0</v>
      </c>
      <c r="O45" s="62">
        <f>SUM(Tabela17812[[#This Row],[RAL 1023]:[NEON ORANGE]])</f>
        <v>0</v>
      </c>
      <c r="P45" s="62">
        <f>Tabela17812[[#This Row],[SETS]]*Tabela17812[[#This Row],[Number of pcs]]</f>
        <v>0</v>
      </c>
      <c r="Q45" s="328">
        <f t="shared" si="3"/>
        <v>0</v>
      </c>
      <c r="R45" s="482"/>
      <c r="S45" s="486"/>
      <c r="T45" s="466"/>
      <c r="U45" s="435"/>
      <c r="V45" s="467"/>
      <c r="W45" s="468"/>
      <c r="X45" s="436"/>
      <c r="Y45" s="470"/>
      <c r="Z45" s="469"/>
      <c r="AA45" s="449"/>
      <c r="AB45" s="437"/>
      <c r="AC45" s="438"/>
      <c r="AD45" s="439"/>
      <c r="AE45" s="440"/>
      <c r="AF45" s="30"/>
    </row>
    <row r="46" spans="2:32" ht="12" thickBot="1" x14ac:dyDescent="0.25">
      <c r="B46" s="155" t="s">
        <v>1435</v>
      </c>
      <c r="C46" s="207" t="s">
        <v>1434</v>
      </c>
      <c r="D46" s="207">
        <v>2</v>
      </c>
      <c r="E46" s="48" t="s">
        <v>1421</v>
      </c>
      <c r="F46" s="47">
        <v>1.05</v>
      </c>
      <c r="G46" s="224">
        <v>72</v>
      </c>
      <c r="H46" s="49">
        <f>ROUNDUP(Tabela17812[[#This Row],[OLD PRICE]]*(1+PRICES!$C$6),0)</f>
        <v>87</v>
      </c>
      <c r="I46" s="158">
        <v>0.15</v>
      </c>
      <c r="J46" s="49">
        <f>Tabela17812[[#This Row],[OLD PRICE]]*Tabela17812[[#This Row],[DISCOUNT per piece '[%']]]</f>
        <v>10.799999999999999</v>
      </c>
      <c r="K46" s="49">
        <f>Tabela17812[[#This Row],[OLD PRICE]]*(1-Tabela17812[[#This Row],[DISCOUNT per piece '[%']]])</f>
        <v>61.199999999999996</v>
      </c>
      <c r="L46" s="178">
        <f>Tabela17812[[#This Row],[SETS]]*Tabela17812[[#This Row],[PROMOTIONAL PRICE]]</f>
        <v>0</v>
      </c>
      <c r="M46" s="507" cm="1">
        <f t="array" ref="M46">ROUNDUP(Tabela17812[[#This Row],[NEW PRICE]]*eurofxref_daily[],2)</f>
        <v>139.97</v>
      </c>
      <c r="N46" s="506">
        <f>Tabela17812[[#This Row],[CAD PRICE]]*O46</f>
        <v>0</v>
      </c>
      <c r="O46" s="62">
        <f>SUM(Tabela17812[[#This Row],[RAL 1023]:[NEON ORANGE]])</f>
        <v>0</v>
      </c>
      <c r="P46" s="62">
        <f>Tabela17812[[#This Row],[SETS]]*Tabela17812[[#This Row],[Number of pcs]]</f>
        <v>0</v>
      </c>
      <c r="Q46" s="328">
        <f t="shared" si="3"/>
        <v>0</v>
      </c>
      <c r="R46" s="482"/>
      <c r="S46" s="486"/>
      <c r="T46" s="466"/>
      <c r="U46" s="435"/>
      <c r="V46" s="467"/>
      <c r="W46" s="468"/>
      <c r="X46" s="436"/>
      <c r="Y46" s="470"/>
      <c r="Z46" s="469"/>
      <c r="AA46" s="449"/>
      <c r="AB46" s="437"/>
      <c r="AC46" s="438"/>
      <c r="AD46" s="439"/>
      <c r="AE46" s="440"/>
      <c r="AF46" s="30"/>
    </row>
    <row r="47" spans="2:32" s="301" customFormat="1" ht="13.5" hidden="1" customHeight="1" thickBot="1" x14ac:dyDescent="0.25">
      <c r="B47" s="302" t="s">
        <v>1433</v>
      </c>
      <c r="C47" s="303" t="s">
        <v>1432</v>
      </c>
      <c r="D47" s="303">
        <v>1</v>
      </c>
      <c r="E47" s="304" t="s">
        <v>1416</v>
      </c>
      <c r="F47" s="305">
        <v>1.48</v>
      </c>
      <c r="G47" s="224">
        <v>0</v>
      </c>
      <c r="H47" s="49">
        <f>ROUNDUP(Tabela17812[[#This Row],[OLD PRICE]]*(1+PRICES!$C$6),0)</f>
        <v>0</v>
      </c>
      <c r="I47" s="307">
        <v>0.15</v>
      </c>
      <c r="J47" s="306">
        <f>Tabela17812[[#This Row],[OLD PRICE]]*Tabela17812[[#This Row],[DISCOUNT per piece '[%']]]</f>
        <v>0</v>
      </c>
      <c r="K47" s="306">
        <f>Tabela17812[[#This Row],[OLD PRICE]]*(1-Tabela17812[[#This Row],[DISCOUNT per piece '[%']]])</f>
        <v>0</v>
      </c>
      <c r="L47" s="308">
        <f>Tabela17812[[#This Row],[SETS]]*Tabela17812[[#This Row],[PROMOTIONAL PRICE]]</f>
        <v>0</v>
      </c>
      <c r="M47" s="507" cm="1">
        <f t="array" ref="M47">ROUNDUP(Tabela17812[[#This Row],[NEW PRICE]]*eurofxref_daily[],2)</f>
        <v>0</v>
      </c>
      <c r="N47" s="506">
        <f>Tabela17812[[#This Row],[CAD PRICE]]*O47</f>
        <v>0</v>
      </c>
      <c r="O47" s="62">
        <f>SUM(Tabela17812[[#This Row],[RAL 1023]:[NEON ORANGE]])</f>
        <v>0</v>
      </c>
      <c r="P47" s="309">
        <f>Tabela17812[[#This Row],[SETS]]*Tabela17812[[#This Row],[Number of pcs]]</f>
        <v>0</v>
      </c>
      <c r="Q47" s="329">
        <f t="shared" si="3"/>
        <v>0</v>
      </c>
      <c r="R47" s="482"/>
      <c r="S47" s="486"/>
      <c r="T47" s="466"/>
      <c r="U47" s="435"/>
      <c r="V47" s="467"/>
      <c r="W47" s="468"/>
      <c r="X47" s="436"/>
      <c r="Y47" s="470"/>
      <c r="Z47" s="469"/>
      <c r="AA47" s="449"/>
      <c r="AB47" s="437"/>
      <c r="AC47" s="438"/>
      <c r="AD47" s="439"/>
      <c r="AE47" s="440"/>
    </row>
    <row r="48" spans="2:32" s="301" customFormat="1" ht="13.5" hidden="1" customHeight="1" thickBot="1" x14ac:dyDescent="0.25">
      <c r="B48" s="302" t="s">
        <v>1431</v>
      </c>
      <c r="C48" s="303" t="s">
        <v>1430</v>
      </c>
      <c r="D48" s="303">
        <v>1</v>
      </c>
      <c r="E48" s="304" t="s">
        <v>1416</v>
      </c>
      <c r="F48" s="305">
        <v>1.4</v>
      </c>
      <c r="G48" s="224">
        <v>0</v>
      </c>
      <c r="H48" s="49">
        <f>ROUNDUP(Tabela17812[[#This Row],[OLD PRICE]]*(1+PRICES!$C$6),0)</f>
        <v>0</v>
      </c>
      <c r="I48" s="307">
        <v>0.15</v>
      </c>
      <c r="J48" s="306">
        <f>Tabela17812[[#This Row],[OLD PRICE]]*Tabela17812[[#This Row],[DISCOUNT per piece '[%']]]</f>
        <v>0</v>
      </c>
      <c r="K48" s="306">
        <f>Tabela17812[[#This Row],[OLD PRICE]]*(1-Tabela17812[[#This Row],[DISCOUNT per piece '[%']]])</f>
        <v>0</v>
      </c>
      <c r="L48" s="308">
        <f>Tabela17812[[#This Row],[SETS]]*Tabela17812[[#This Row],[PROMOTIONAL PRICE]]</f>
        <v>0</v>
      </c>
      <c r="M48" s="507" cm="1">
        <f t="array" ref="M48">ROUNDUP(Tabela17812[[#This Row],[NEW PRICE]]*eurofxref_daily[],2)</f>
        <v>0</v>
      </c>
      <c r="N48" s="506">
        <f>Tabela17812[[#This Row],[CAD PRICE]]*O48</f>
        <v>0</v>
      </c>
      <c r="O48" s="62">
        <f>SUM(Tabela17812[[#This Row],[RAL 1023]:[NEON ORANGE]])</f>
        <v>0</v>
      </c>
      <c r="P48" s="309">
        <f>Tabela17812[[#This Row],[SETS]]*Tabela17812[[#This Row],[Number of pcs]]</f>
        <v>0</v>
      </c>
      <c r="Q48" s="329">
        <f t="shared" si="3"/>
        <v>0</v>
      </c>
      <c r="R48" s="482"/>
      <c r="S48" s="486"/>
      <c r="T48" s="466"/>
      <c r="U48" s="435"/>
      <c r="V48" s="467"/>
      <c r="W48" s="468"/>
      <c r="X48" s="436"/>
      <c r="Y48" s="470"/>
      <c r="Z48" s="469"/>
      <c r="AA48" s="449"/>
      <c r="AB48" s="437"/>
      <c r="AC48" s="438"/>
      <c r="AD48" s="439"/>
      <c r="AE48" s="440"/>
    </row>
    <row r="49" spans="1:32" s="301" customFormat="1" ht="13.5" hidden="1" customHeight="1" thickBot="1" x14ac:dyDescent="0.25">
      <c r="B49" s="302" t="s">
        <v>1429</v>
      </c>
      <c r="C49" s="303" t="s">
        <v>1428</v>
      </c>
      <c r="D49" s="303">
        <v>1</v>
      </c>
      <c r="E49" s="304" t="s">
        <v>1416</v>
      </c>
      <c r="F49" s="305">
        <v>2.2000000000000002</v>
      </c>
      <c r="G49" s="224">
        <v>0</v>
      </c>
      <c r="H49" s="49">
        <f>ROUNDUP(Tabela17812[[#This Row],[OLD PRICE]]*(1+PRICES!$C$6),0)</f>
        <v>0</v>
      </c>
      <c r="I49" s="307">
        <v>0.15</v>
      </c>
      <c r="J49" s="306">
        <f>Tabela17812[[#This Row],[OLD PRICE]]*Tabela17812[[#This Row],[DISCOUNT per piece '[%']]]</f>
        <v>0</v>
      </c>
      <c r="K49" s="306">
        <f>Tabela17812[[#This Row],[OLD PRICE]]*(1-Tabela17812[[#This Row],[DISCOUNT per piece '[%']]])</f>
        <v>0</v>
      </c>
      <c r="L49" s="308">
        <f>Tabela17812[[#This Row],[SETS]]*Tabela17812[[#This Row],[PROMOTIONAL PRICE]]</f>
        <v>0</v>
      </c>
      <c r="M49" s="507" cm="1">
        <f t="array" ref="M49">ROUNDUP(Tabela17812[[#This Row],[NEW PRICE]]*eurofxref_daily[],2)</f>
        <v>0</v>
      </c>
      <c r="N49" s="506">
        <f>Tabela17812[[#This Row],[CAD PRICE]]*O49</f>
        <v>0</v>
      </c>
      <c r="O49" s="62">
        <f>SUM(Tabela17812[[#This Row],[RAL 1023]:[NEON ORANGE]])</f>
        <v>0</v>
      </c>
      <c r="P49" s="309">
        <f>Tabela17812[[#This Row],[SETS]]*Tabela17812[[#This Row],[Number of pcs]]</f>
        <v>0</v>
      </c>
      <c r="Q49" s="329">
        <f t="shared" si="3"/>
        <v>0</v>
      </c>
      <c r="R49" s="482"/>
      <c r="S49" s="486"/>
      <c r="T49" s="466"/>
      <c r="U49" s="435"/>
      <c r="V49" s="467"/>
      <c r="W49" s="468"/>
      <c r="X49" s="436"/>
      <c r="Y49" s="470"/>
      <c r="Z49" s="469"/>
      <c r="AA49" s="449"/>
      <c r="AB49" s="437"/>
      <c r="AC49" s="438"/>
      <c r="AD49" s="439"/>
      <c r="AE49" s="440"/>
    </row>
    <row r="50" spans="1:32" s="301" customFormat="1" ht="13.5" hidden="1" customHeight="1" thickBot="1" x14ac:dyDescent="0.25">
      <c r="B50" s="302" t="s">
        <v>1427</v>
      </c>
      <c r="C50" s="303" t="s">
        <v>1426</v>
      </c>
      <c r="D50" s="303">
        <v>1</v>
      </c>
      <c r="E50" s="304" t="s">
        <v>1416</v>
      </c>
      <c r="F50" s="305">
        <v>1.69</v>
      </c>
      <c r="G50" s="224">
        <v>0</v>
      </c>
      <c r="H50" s="49">
        <f>ROUNDUP(Tabela17812[[#This Row],[OLD PRICE]]*(1+PRICES!$C$6),0)</f>
        <v>0</v>
      </c>
      <c r="I50" s="307">
        <v>0.15</v>
      </c>
      <c r="J50" s="306">
        <f>Tabela17812[[#This Row],[OLD PRICE]]*Tabela17812[[#This Row],[DISCOUNT per piece '[%']]]</f>
        <v>0</v>
      </c>
      <c r="K50" s="306">
        <f>Tabela17812[[#This Row],[OLD PRICE]]*(1-Tabela17812[[#This Row],[DISCOUNT per piece '[%']]])</f>
        <v>0</v>
      </c>
      <c r="L50" s="308">
        <f>Tabela17812[[#This Row],[SETS]]*Tabela17812[[#This Row],[PROMOTIONAL PRICE]]</f>
        <v>0</v>
      </c>
      <c r="M50" s="507" cm="1">
        <f t="array" ref="M50">ROUNDUP(Tabela17812[[#This Row],[NEW PRICE]]*eurofxref_daily[],2)</f>
        <v>0</v>
      </c>
      <c r="N50" s="506">
        <f>Tabela17812[[#This Row],[CAD PRICE]]*O50</f>
        <v>0</v>
      </c>
      <c r="O50" s="62">
        <f>SUM(Tabela17812[[#This Row],[RAL 1023]:[NEON ORANGE]])</f>
        <v>0</v>
      </c>
      <c r="P50" s="309">
        <f>Tabela17812[[#This Row],[SETS]]*Tabela17812[[#This Row],[Number of pcs]]</f>
        <v>0</v>
      </c>
      <c r="Q50" s="329">
        <f t="shared" si="3"/>
        <v>0</v>
      </c>
      <c r="R50" s="482"/>
      <c r="S50" s="486"/>
      <c r="T50" s="466"/>
      <c r="U50" s="435"/>
      <c r="V50" s="467"/>
      <c r="W50" s="468"/>
      <c r="X50" s="436"/>
      <c r="Y50" s="470"/>
      <c r="Z50" s="469"/>
      <c r="AA50" s="449"/>
      <c r="AB50" s="437"/>
      <c r="AC50" s="438"/>
      <c r="AD50" s="439"/>
      <c r="AE50" s="440"/>
    </row>
    <row r="51" spans="1:32" s="301" customFormat="1" ht="12" thickBot="1" x14ac:dyDescent="0.25">
      <c r="B51" s="310" t="s">
        <v>1425</v>
      </c>
      <c r="C51" s="311" t="s">
        <v>1424</v>
      </c>
      <c r="D51" s="311">
        <v>2</v>
      </c>
      <c r="E51" s="312" t="s">
        <v>1421</v>
      </c>
      <c r="F51" s="313">
        <v>1.01</v>
      </c>
      <c r="G51" s="224">
        <v>60</v>
      </c>
      <c r="H51" s="49">
        <f>ROUNDUP(Tabela17812[[#This Row],[OLD PRICE]]*(1+PRICES!$C$6),0)</f>
        <v>72</v>
      </c>
      <c r="I51" s="307">
        <v>0.15</v>
      </c>
      <c r="J51" s="306">
        <f>Tabela17812[[#This Row],[OLD PRICE]]*Tabela17812[[#This Row],[DISCOUNT per piece '[%']]]</f>
        <v>9</v>
      </c>
      <c r="K51" s="306">
        <f>Tabela17812[[#This Row],[OLD PRICE]]*(1-Tabela17812[[#This Row],[DISCOUNT per piece '[%']]])</f>
        <v>51</v>
      </c>
      <c r="L51" s="308">
        <f>Tabela17812[[#This Row],[SETS]]*Tabela17812[[#This Row],[PROMOTIONAL PRICE]]</f>
        <v>0</v>
      </c>
      <c r="M51" s="507" cm="1">
        <f t="array" ref="M51">ROUNDUP(Tabela17812[[#This Row],[NEW PRICE]]*eurofxref_daily[],2)</f>
        <v>115.84</v>
      </c>
      <c r="N51" s="506">
        <f>Tabela17812[[#This Row],[CAD PRICE]]*O51</f>
        <v>0</v>
      </c>
      <c r="O51" s="62">
        <f>SUM(Tabela17812[[#This Row],[RAL 1023]:[NEON ORANGE]])</f>
        <v>0</v>
      </c>
      <c r="P51" s="309">
        <f>Tabela17812[[#This Row],[SETS]]*Tabela17812[[#This Row],[Number of pcs]]</f>
        <v>0</v>
      </c>
      <c r="Q51" s="329">
        <f t="shared" si="3"/>
        <v>0</v>
      </c>
      <c r="R51" s="482"/>
      <c r="S51" s="486"/>
      <c r="T51" s="466"/>
      <c r="U51" s="435"/>
      <c r="V51" s="467"/>
      <c r="W51" s="468"/>
      <c r="X51" s="436"/>
      <c r="Y51" s="470"/>
      <c r="Z51" s="469"/>
      <c r="AA51" s="449"/>
      <c r="AB51" s="437"/>
      <c r="AC51" s="438"/>
      <c r="AD51" s="439"/>
      <c r="AE51" s="440"/>
    </row>
    <row r="52" spans="1:32" s="301" customFormat="1" ht="12" thickBot="1" x14ac:dyDescent="0.25">
      <c r="B52" s="310" t="s">
        <v>1423</v>
      </c>
      <c r="C52" s="311" t="s">
        <v>1422</v>
      </c>
      <c r="D52" s="314">
        <v>2</v>
      </c>
      <c r="E52" s="312" t="s">
        <v>1421</v>
      </c>
      <c r="F52" s="313">
        <v>0.92</v>
      </c>
      <c r="G52" s="224">
        <v>57</v>
      </c>
      <c r="H52" s="49">
        <f>ROUNDUP(Tabela17812[[#This Row],[OLD PRICE]]*(1+PRICES!$C$6),0)</f>
        <v>69</v>
      </c>
      <c r="I52" s="307">
        <v>0.15</v>
      </c>
      <c r="J52" s="306">
        <f>Tabela17812[[#This Row],[OLD PRICE]]*Tabela17812[[#This Row],[DISCOUNT per piece '[%']]]</f>
        <v>8.5499999999999989</v>
      </c>
      <c r="K52" s="306">
        <f>Tabela17812[[#This Row],[OLD PRICE]]*(1-Tabela17812[[#This Row],[DISCOUNT per piece '[%']]])</f>
        <v>48.449999999999996</v>
      </c>
      <c r="L52" s="306">
        <f>Tabela17812[[#This Row],[SETS]]*Tabela17812[[#This Row],[PROMOTIONAL PRICE]]</f>
        <v>0</v>
      </c>
      <c r="M52" s="507" cm="1">
        <f t="array" ref="M52">ROUNDUP(Tabela17812[[#This Row],[NEW PRICE]]*eurofxref_daily[],2)</f>
        <v>111.01</v>
      </c>
      <c r="N52" s="506">
        <f>Tabela17812[[#This Row],[CAD PRICE]]*O52</f>
        <v>0</v>
      </c>
      <c r="O52" s="62">
        <f>SUM(Tabela17812[[#This Row],[RAL 1023]:[NEON ORANGE]])</f>
        <v>0</v>
      </c>
      <c r="P52" s="315">
        <f>Tabela17812[[#This Row],[SETS]]*Tabela17812[[#This Row],[Number of pcs]]</f>
        <v>0</v>
      </c>
      <c r="Q52" s="330">
        <f t="shared" si="3"/>
        <v>0</v>
      </c>
      <c r="R52" s="482"/>
      <c r="S52" s="486"/>
      <c r="T52" s="466"/>
      <c r="U52" s="435"/>
      <c r="V52" s="467"/>
      <c r="W52" s="468"/>
      <c r="X52" s="436"/>
      <c r="Y52" s="470"/>
      <c r="Z52" s="469"/>
      <c r="AA52" s="449"/>
      <c r="AB52" s="437"/>
      <c r="AC52" s="438"/>
      <c r="AD52" s="439"/>
      <c r="AE52" s="440"/>
    </row>
    <row r="53" spans="1:32" s="301" customFormat="1" ht="12" thickBot="1" x14ac:dyDescent="0.25">
      <c r="B53" s="310" t="s">
        <v>1420</v>
      </c>
      <c r="C53" s="311" t="s">
        <v>1419</v>
      </c>
      <c r="D53" s="314">
        <v>3</v>
      </c>
      <c r="E53" s="312" t="s">
        <v>660</v>
      </c>
      <c r="F53" s="313">
        <v>0.56000000000000005</v>
      </c>
      <c r="G53" s="224">
        <v>59</v>
      </c>
      <c r="H53" s="49">
        <f>ROUNDUP(Tabela17812[[#This Row],[OLD PRICE]]*(1+PRICES!$C$6),0)</f>
        <v>71</v>
      </c>
      <c r="I53" s="307">
        <v>0.15</v>
      </c>
      <c r="J53" s="306">
        <f>Tabela17812[[#This Row],[OLD PRICE]]*Tabela17812[[#This Row],[DISCOUNT per piece '[%']]]</f>
        <v>8.85</v>
      </c>
      <c r="K53" s="306">
        <f>Tabela17812[[#This Row],[OLD PRICE]]*(1-Tabela17812[[#This Row],[DISCOUNT per piece '[%']]])</f>
        <v>50.15</v>
      </c>
      <c r="L53" s="306">
        <f>Tabela17812[[#This Row],[SETS]]*Tabela17812[[#This Row],[PROMOTIONAL PRICE]]</f>
        <v>0</v>
      </c>
      <c r="M53" s="507" cm="1">
        <f t="array" ref="M53">ROUNDUP(Tabela17812[[#This Row],[NEW PRICE]]*eurofxref_daily[],2)</f>
        <v>114.23</v>
      </c>
      <c r="N53" s="506">
        <f>Tabela17812[[#This Row],[CAD PRICE]]*O53</f>
        <v>0</v>
      </c>
      <c r="O53" s="62">
        <f>SUM(Tabela17812[[#This Row],[RAL 1023]:[NEON ORANGE]])</f>
        <v>0</v>
      </c>
      <c r="P53" s="315">
        <f>Tabela17812[[#This Row],[SETS]]*Tabela17812[[#This Row],[Number of pcs]]</f>
        <v>0</v>
      </c>
      <c r="Q53" s="330">
        <f t="shared" si="3"/>
        <v>0</v>
      </c>
      <c r="R53" s="482"/>
      <c r="S53" s="486"/>
      <c r="T53" s="466"/>
      <c r="U53" s="435"/>
      <c r="V53" s="467"/>
      <c r="W53" s="468"/>
      <c r="X53" s="436"/>
      <c r="Y53" s="470"/>
      <c r="Z53" s="469"/>
      <c r="AA53" s="449"/>
      <c r="AB53" s="437"/>
      <c r="AC53" s="438"/>
      <c r="AD53" s="439"/>
      <c r="AE53" s="440"/>
    </row>
    <row r="54" spans="1:32" s="301" customFormat="1" ht="10.9" hidden="1" customHeight="1" thickBot="1" x14ac:dyDescent="0.25">
      <c r="B54" s="302" t="s">
        <v>1418</v>
      </c>
      <c r="C54" s="303" t="s">
        <v>1417</v>
      </c>
      <c r="D54" s="316">
        <v>1</v>
      </c>
      <c r="E54" s="304" t="s">
        <v>1416</v>
      </c>
      <c r="F54" s="305">
        <v>1.31</v>
      </c>
      <c r="G54" s="224">
        <v>0</v>
      </c>
      <c r="H54" s="49">
        <f>ROUNDUP(Tabela17812[[#This Row],[OLD PRICE]]*(1+PRICES!$C$6),0)</f>
        <v>0</v>
      </c>
      <c r="I54" s="307">
        <v>0.15</v>
      </c>
      <c r="J54" s="306">
        <f>Tabela17812[[#This Row],[OLD PRICE]]*Tabela17812[[#This Row],[DISCOUNT per piece '[%']]]</f>
        <v>0</v>
      </c>
      <c r="K54" s="306">
        <f>Tabela17812[[#This Row],[OLD PRICE]]*(1-Tabela17812[[#This Row],[DISCOUNT per piece '[%']]])</f>
        <v>0</v>
      </c>
      <c r="L54" s="306">
        <f>Tabela17812[[#This Row],[SETS]]*Tabela17812[[#This Row],[PROMOTIONAL PRICE]]</f>
        <v>0</v>
      </c>
      <c r="M54" s="507" cm="1">
        <f t="array" ref="M54">ROUNDUP(Tabela17812[[#This Row],[NEW PRICE]]*eurofxref_daily[],2)</f>
        <v>0</v>
      </c>
      <c r="N54" s="506">
        <f>Tabela17812[[#This Row],[CAD PRICE]]*O54</f>
        <v>0</v>
      </c>
      <c r="O54" s="62">
        <f>SUM(Tabela17812[[#This Row],[RAL 1023]:[NEON ORANGE]])</f>
        <v>0</v>
      </c>
      <c r="P54" s="315">
        <f>Tabela17812[[#This Row],[SETS]]*Tabela17812[[#This Row],[Number of pcs]]</f>
        <v>0</v>
      </c>
      <c r="Q54" s="330">
        <f t="shared" si="3"/>
        <v>0</v>
      </c>
      <c r="R54" s="482"/>
      <c r="S54" s="486"/>
      <c r="T54" s="466"/>
      <c r="U54" s="435"/>
      <c r="V54" s="467"/>
      <c r="W54" s="468"/>
      <c r="X54" s="436"/>
      <c r="Y54" s="470"/>
      <c r="Z54" s="469"/>
      <c r="AA54" s="449"/>
      <c r="AB54" s="437"/>
      <c r="AC54" s="438"/>
      <c r="AD54" s="439"/>
      <c r="AE54" s="440"/>
    </row>
    <row r="55" spans="1:32" ht="12" thickBot="1" x14ac:dyDescent="0.25">
      <c r="A55" s="217" t="s">
        <v>1412</v>
      </c>
      <c r="B55" s="155" t="s">
        <v>1414</v>
      </c>
      <c r="C55" s="207" t="s">
        <v>1413</v>
      </c>
      <c r="D55" s="216">
        <v>3</v>
      </c>
      <c r="E55" s="48" t="s">
        <v>1409</v>
      </c>
      <c r="F55" s="47">
        <v>3.38</v>
      </c>
      <c r="G55" s="224">
        <v>186</v>
      </c>
      <c r="H55" s="49">
        <f>ROUNDUP(Tabela17812[[#This Row],[OLD PRICE]]*(1+PRICES!$C$6),0)</f>
        <v>224</v>
      </c>
      <c r="I55" s="49"/>
      <c r="J55" s="49">
        <f>Tabela17812[[#This Row],[OLD PRICE]]*Tabela17812[[#This Row],[DISCOUNT per piece '[%']]]</f>
        <v>0</v>
      </c>
      <c r="K55" s="49">
        <f>Tabela17812[[#This Row],[OLD PRICE]]*(1-Tabela17812[[#This Row],[DISCOUNT per piece '[%']]])</f>
        <v>186</v>
      </c>
      <c r="L55" s="49">
        <f>Tabela17812[[#This Row],[SETS]]*Tabela17812[[#This Row],[PROMOTIONAL PRICE]]</f>
        <v>0</v>
      </c>
      <c r="M55" s="507" cm="1">
        <f t="array" ref="M55">ROUNDUP(Tabela17812[[#This Row],[NEW PRICE]]*eurofxref_daily[],2)</f>
        <v>360.38</v>
      </c>
      <c r="N55" s="506">
        <f>Tabela17812[[#This Row],[CAD PRICE]]*O55</f>
        <v>0</v>
      </c>
      <c r="O55" s="62">
        <f>SUM(Tabela17812[[#This Row],[RAL 1023]:[NEON ORANGE]])</f>
        <v>0</v>
      </c>
      <c r="P55" s="153">
        <f>Tabela17812[[#This Row],[SETS]]*Tabela17812[[#This Row],[Number of pcs]]</f>
        <v>0</v>
      </c>
      <c r="Q55" s="331">
        <f t="shared" si="3"/>
        <v>0</v>
      </c>
      <c r="R55" s="482"/>
      <c r="S55" s="486"/>
      <c r="T55" s="466"/>
      <c r="U55" s="435"/>
      <c r="V55" s="467"/>
      <c r="W55" s="468"/>
      <c r="X55" s="436"/>
      <c r="Y55" s="470"/>
      <c r="Z55" s="469"/>
      <c r="AA55" s="449"/>
      <c r="AB55" s="437"/>
      <c r="AC55" s="438"/>
      <c r="AD55" s="439"/>
      <c r="AE55" s="440"/>
      <c r="AF55" s="30"/>
    </row>
    <row r="56" spans="1:32" ht="12" thickBot="1" x14ac:dyDescent="0.25">
      <c r="A56" s="217" t="s">
        <v>1415</v>
      </c>
      <c r="B56" s="155" t="s">
        <v>1411</v>
      </c>
      <c r="C56" s="207" t="s">
        <v>1410</v>
      </c>
      <c r="D56" s="216">
        <v>2</v>
      </c>
      <c r="E56" s="48" t="s">
        <v>1409</v>
      </c>
      <c r="F56" s="47">
        <v>2.2599999999999998</v>
      </c>
      <c r="G56" s="224">
        <v>112</v>
      </c>
      <c r="H56" s="49">
        <f>ROUNDUP(Tabela17812[[#This Row],[OLD PRICE]]*(1+PRICES!$C$6),0)</f>
        <v>135</v>
      </c>
      <c r="I56" s="49"/>
      <c r="J56" s="49">
        <f>Tabela17812[[#This Row],[OLD PRICE]]*Tabela17812[[#This Row],[DISCOUNT per piece '[%']]]</f>
        <v>0</v>
      </c>
      <c r="K56" s="49">
        <f>Tabela17812[[#This Row],[OLD PRICE]]*(1-Tabela17812[[#This Row],[DISCOUNT per piece '[%']]])</f>
        <v>112</v>
      </c>
      <c r="L56" s="49">
        <f>Tabela17812[[#This Row],[SETS]]*Tabela17812[[#This Row],[PROMOTIONAL PRICE]]</f>
        <v>0</v>
      </c>
      <c r="M56" s="507" cm="1">
        <f t="array" ref="M56">ROUNDUP(Tabela17812[[#This Row],[NEW PRICE]]*eurofxref_daily[],2)</f>
        <v>217.19</v>
      </c>
      <c r="N56" s="506">
        <f>Tabela17812[[#This Row],[CAD PRICE]]*O56</f>
        <v>0</v>
      </c>
      <c r="O56" s="62">
        <f>SUM(Tabela17812[[#This Row],[RAL 1023]:[NEON ORANGE]])</f>
        <v>0</v>
      </c>
      <c r="P56" s="62">
        <f>Tabela17812[[#This Row],[SETS]]*Tabela17812[[#This Row],[Number of pcs]]</f>
        <v>0</v>
      </c>
      <c r="Q56" s="328">
        <f t="shared" si="3"/>
        <v>0</v>
      </c>
      <c r="R56" s="482"/>
      <c r="S56" s="486"/>
      <c r="T56" s="466"/>
      <c r="U56" s="435"/>
      <c r="V56" s="467"/>
      <c r="W56" s="468"/>
      <c r="X56" s="436"/>
      <c r="Y56" s="470"/>
      <c r="Z56" s="469"/>
      <c r="AA56" s="449"/>
      <c r="AB56" s="437"/>
      <c r="AC56" s="438"/>
      <c r="AD56" s="439"/>
      <c r="AE56" s="440"/>
      <c r="AF56" s="30"/>
    </row>
    <row r="57" spans="1:32" ht="12" thickBot="1" x14ac:dyDescent="0.25">
      <c r="B57" s="151" t="s">
        <v>1710</v>
      </c>
      <c r="C57" s="126"/>
      <c r="D57" s="126"/>
      <c r="E57" s="124"/>
      <c r="F57" s="124"/>
      <c r="G57" s="364"/>
      <c r="H57" s="362"/>
      <c r="I57" s="364"/>
      <c r="J57" s="364">
        <f>Tabela17812[[#This Row],[OLD PRICE]]*Tabela17812[[#This Row],[DISCOUNT per piece '[%']]]</f>
        <v>0</v>
      </c>
      <c r="K57" s="364">
        <f>Tabela17812[[#This Row],[OLD PRICE]]*(1-Tabela17812[[#This Row],[DISCOUNT per piece '[%']]])</f>
        <v>0</v>
      </c>
      <c r="L57" s="364">
        <f>Tabela17812[[#This Row],[SETS]]*Tabela17812[[#This Row],[PROMOTIONAL PRICE]]</f>
        <v>0</v>
      </c>
      <c r="M57" s="362"/>
      <c r="N57" s="362"/>
      <c r="O57" s="366"/>
      <c r="P57" s="80"/>
      <c r="Q57" s="140"/>
      <c r="R57" s="80"/>
      <c r="S57" s="80"/>
      <c r="T57" s="80"/>
      <c r="U57" s="80"/>
      <c r="V57" s="80"/>
      <c r="W57" s="80"/>
      <c r="X57" s="80"/>
      <c r="Y57" s="80"/>
      <c r="Z57" s="457"/>
      <c r="AA57" s="454"/>
      <c r="AB57" s="353"/>
      <c r="AC57" s="353"/>
      <c r="AD57" s="353"/>
      <c r="AE57" s="353"/>
      <c r="AF57" s="30"/>
    </row>
    <row r="58" spans="1:32" ht="12" thickBot="1" x14ac:dyDescent="0.25">
      <c r="B58" s="156" t="s">
        <v>1711</v>
      </c>
      <c r="C58" s="204" t="s">
        <v>1712</v>
      </c>
      <c r="D58" s="207">
        <v>9</v>
      </c>
      <c r="E58" s="48" t="s">
        <v>1713</v>
      </c>
      <c r="F58" s="47">
        <v>0.53</v>
      </c>
      <c r="G58" s="224">
        <v>40</v>
      </c>
      <c r="H58" s="49">
        <f>ROUNDUP(Tabela17812[[#This Row],[OLD PRICE]]*(1+PRICES!$C$6),0)</f>
        <v>48</v>
      </c>
      <c r="I58" s="49">
        <v>0.15</v>
      </c>
      <c r="J58" s="49" t="e">
        <f>[2]!Tabela17812[[#This Row],[PRICE]]*[2]!Tabela17812[[#This Row],[DISCOUNT per piece '[%']]]</f>
        <v>#REF!</v>
      </c>
      <c r="K58" s="49" t="e">
        <f>[2]!Tabela17812[[#This Row],[PRICE]]*(1-[2]!Tabela17812[[#This Row],[DISCOUNT per piece '[%']]])</f>
        <v>#REF!</v>
      </c>
      <c r="L58" s="49" t="e">
        <f>[2]!Tabela17812[[#This Row],[SETS]]*[2]!Tabela17812[[#This Row],[PROMOTIONAL PRICE]]</f>
        <v>#REF!</v>
      </c>
      <c r="M58" s="507" cm="1">
        <f t="array" ref="M58">ROUNDUP(Tabela17812[[#This Row],[NEW PRICE]]*eurofxref_daily[],2)</f>
        <v>77.23</v>
      </c>
      <c r="N58" s="506">
        <f>Tabela17812[[#This Row],[CAD PRICE]]*O58</f>
        <v>0</v>
      </c>
      <c r="O58" s="62">
        <f>SUM(Tabela17812[[#This Row],[RAL 1023]:[NEON ORANGE]])</f>
        <v>0</v>
      </c>
      <c r="P58" s="62">
        <f>Tabela17812[[#This Row],[SETS]]*Tabela17812[[#This Row],[Number of pcs]]</f>
        <v>0</v>
      </c>
      <c r="Q58" s="328">
        <f t="shared" ref="Q58:Q100" si="4">O58*F58</f>
        <v>0</v>
      </c>
      <c r="R58" s="482"/>
      <c r="S58" s="486"/>
      <c r="T58" s="466"/>
      <c r="U58" s="435"/>
      <c r="V58" s="467"/>
      <c r="W58" s="468"/>
      <c r="X58" s="436"/>
      <c r="Y58" s="470"/>
      <c r="Z58" s="469"/>
      <c r="AA58" s="449"/>
      <c r="AB58" s="437"/>
      <c r="AC58" s="438"/>
      <c r="AD58" s="439"/>
      <c r="AE58" s="440"/>
      <c r="AF58" s="30"/>
    </row>
    <row r="59" spans="1:32" ht="12" thickBot="1" x14ac:dyDescent="0.25">
      <c r="B59" s="156" t="s">
        <v>1714</v>
      </c>
      <c r="C59" s="204" t="s">
        <v>1715</v>
      </c>
      <c r="D59" s="207">
        <v>10</v>
      </c>
      <c r="E59" s="48" t="s">
        <v>659</v>
      </c>
      <c r="F59" s="47">
        <v>2.1</v>
      </c>
      <c r="G59" s="224">
        <v>67</v>
      </c>
      <c r="H59" s="49">
        <f>ROUNDUP(Tabela17812[[#This Row],[OLD PRICE]]*(1+PRICES!$C$6),0)</f>
        <v>81</v>
      </c>
      <c r="I59" s="49">
        <v>0.15</v>
      </c>
      <c r="J59" s="49" t="e">
        <f>[2]!Tabela17812[[#This Row],[PRICE]]*[2]!Tabela17812[[#This Row],[DISCOUNT per piece '[%']]]</f>
        <v>#REF!</v>
      </c>
      <c r="K59" s="49" t="e">
        <f>[2]!Tabela17812[[#This Row],[PRICE]]*(1-[2]!Tabela17812[[#This Row],[DISCOUNT per piece '[%']]])</f>
        <v>#REF!</v>
      </c>
      <c r="L59" s="49" t="e">
        <f>[2]!Tabela17812[[#This Row],[SETS]]*[2]!Tabela17812[[#This Row],[PROMOTIONAL PRICE]]</f>
        <v>#REF!</v>
      </c>
      <c r="M59" s="507" cm="1">
        <f t="array" ref="M59">ROUNDUP(Tabela17812[[#This Row],[NEW PRICE]]*eurofxref_daily[],2)</f>
        <v>130.32</v>
      </c>
      <c r="N59" s="506">
        <f>Tabela17812[[#This Row],[CAD PRICE]]*O59</f>
        <v>0</v>
      </c>
      <c r="O59" s="62">
        <f>SUM(Tabela17812[[#This Row],[RAL 1023]:[NEON ORANGE]])</f>
        <v>0</v>
      </c>
      <c r="P59" s="62">
        <f>Tabela17812[[#This Row],[SETS]]*Tabela17812[[#This Row],[Number of pcs]]</f>
        <v>0</v>
      </c>
      <c r="Q59" s="328">
        <f t="shared" si="4"/>
        <v>0</v>
      </c>
      <c r="R59" s="482"/>
      <c r="S59" s="486"/>
      <c r="T59" s="466"/>
      <c r="U59" s="435"/>
      <c r="V59" s="467"/>
      <c r="W59" s="468"/>
      <c r="X59" s="436"/>
      <c r="Y59" s="470"/>
      <c r="Z59" s="469"/>
      <c r="AA59" s="449"/>
      <c r="AB59" s="437"/>
      <c r="AC59" s="438"/>
      <c r="AD59" s="439"/>
      <c r="AE59" s="440"/>
      <c r="AF59" s="30"/>
    </row>
    <row r="60" spans="1:32" ht="12" thickBot="1" x14ac:dyDescent="0.25">
      <c r="A60" s="168"/>
      <c r="B60" s="156" t="s">
        <v>1716</v>
      </c>
      <c r="C60" s="204" t="s">
        <v>1717</v>
      </c>
      <c r="D60" s="207">
        <v>5</v>
      </c>
      <c r="E60" s="48" t="s">
        <v>660</v>
      </c>
      <c r="F60" s="47">
        <v>2.23</v>
      </c>
      <c r="G60" s="224">
        <v>92</v>
      </c>
      <c r="H60" s="49">
        <f>ROUNDUP(Tabela17812[[#This Row],[OLD PRICE]]*(1+PRICES!$C$6),0)</f>
        <v>111</v>
      </c>
      <c r="I60" s="49">
        <v>0.15</v>
      </c>
      <c r="J60" s="49" t="e">
        <f>[2]!Tabela17812[[#This Row],[PRICE]]*[2]!Tabela17812[[#This Row],[DISCOUNT per piece '[%']]]</f>
        <v>#REF!</v>
      </c>
      <c r="K60" s="49" t="e">
        <f>[2]!Tabela17812[[#This Row],[PRICE]]*(1-[2]!Tabela17812[[#This Row],[DISCOUNT per piece '[%']]])</f>
        <v>#REF!</v>
      </c>
      <c r="L60" s="49" t="e">
        <f>[2]!Tabela17812[[#This Row],[SETS]]*[2]!Tabela17812[[#This Row],[PROMOTIONAL PRICE]]</f>
        <v>#REF!</v>
      </c>
      <c r="M60" s="507" cm="1">
        <f t="array" ref="M60">ROUNDUP(Tabela17812[[#This Row],[NEW PRICE]]*eurofxref_daily[],2)</f>
        <v>178.57999999999998</v>
      </c>
      <c r="N60" s="506">
        <f>Tabela17812[[#This Row],[CAD PRICE]]*O60</f>
        <v>0</v>
      </c>
      <c r="O60" s="62">
        <f>SUM(Tabela17812[[#This Row],[RAL 1023]:[NEON ORANGE]])</f>
        <v>0</v>
      </c>
      <c r="P60" s="62">
        <f>Tabela17812[[#This Row],[SETS]]*Tabela17812[[#This Row],[Number of pcs]]</f>
        <v>0</v>
      </c>
      <c r="Q60" s="328">
        <f t="shared" si="4"/>
        <v>0</v>
      </c>
      <c r="R60" s="482"/>
      <c r="S60" s="486"/>
      <c r="T60" s="466"/>
      <c r="U60" s="435"/>
      <c r="V60" s="467"/>
      <c r="W60" s="468"/>
      <c r="X60" s="436"/>
      <c r="Y60" s="470"/>
      <c r="Z60" s="469"/>
      <c r="AA60" s="449"/>
      <c r="AB60" s="437"/>
      <c r="AC60" s="438"/>
      <c r="AD60" s="439"/>
      <c r="AE60" s="440"/>
      <c r="AF60" s="30"/>
    </row>
    <row r="61" spans="1:32" ht="12" thickBot="1" x14ac:dyDescent="0.25">
      <c r="A61" s="168"/>
      <c r="B61" s="156" t="s">
        <v>1718</v>
      </c>
      <c r="C61" s="204" t="s">
        <v>1719</v>
      </c>
      <c r="D61" s="207">
        <v>5</v>
      </c>
      <c r="E61" s="48" t="s">
        <v>660</v>
      </c>
      <c r="F61" s="47">
        <v>1.83</v>
      </c>
      <c r="G61" s="224">
        <v>86</v>
      </c>
      <c r="H61" s="49">
        <f>ROUNDUP(Tabela17812[[#This Row],[OLD PRICE]]*(1+PRICES!$C$6),0)</f>
        <v>104</v>
      </c>
      <c r="I61" s="49">
        <v>0.15</v>
      </c>
      <c r="J61" s="49" t="e">
        <f>[2]!Tabela17812[[#This Row],[PRICE]]*[2]!Tabela17812[[#This Row],[DISCOUNT per piece '[%']]]</f>
        <v>#REF!</v>
      </c>
      <c r="K61" s="49" t="e">
        <f>[2]!Tabela17812[[#This Row],[PRICE]]*(1-[2]!Tabela17812[[#This Row],[DISCOUNT per piece '[%']]])</f>
        <v>#REF!</v>
      </c>
      <c r="L61" s="49" t="e">
        <f>[2]!Tabela17812[[#This Row],[SETS]]*[2]!Tabela17812[[#This Row],[PROMOTIONAL PRICE]]</f>
        <v>#REF!</v>
      </c>
      <c r="M61" s="507" cm="1">
        <f t="array" ref="M61">ROUNDUP(Tabela17812[[#This Row],[NEW PRICE]]*eurofxref_daily[],2)</f>
        <v>167.32</v>
      </c>
      <c r="N61" s="506">
        <f>Tabela17812[[#This Row],[CAD PRICE]]*O61</f>
        <v>0</v>
      </c>
      <c r="O61" s="62">
        <f>SUM(Tabela17812[[#This Row],[RAL 1023]:[NEON ORANGE]])</f>
        <v>0</v>
      </c>
      <c r="P61" s="62">
        <f>Tabela17812[[#This Row],[SETS]]*Tabela17812[[#This Row],[Number of pcs]]</f>
        <v>0</v>
      </c>
      <c r="Q61" s="328">
        <f t="shared" si="4"/>
        <v>0</v>
      </c>
      <c r="R61" s="482"/>
      <c r="S61" s="486"/>
      <c r="T61" s="466"/>
      <c r="U61" s="435"/>
      <c r="V61" s="467"/>
      <c r="W61" s="468"/>
      <c r="X61" s="436"/>
      <c r="Y61" s="470"/>
      <c r="Z61" s="469"/>
      <c r="AA61" s="449"/>
      <c r="AB61" s="437"/>
      <c r="AC61" s="438"/>
      <c r="AD61" s="439"/>
      <c r="AE61" s="440"/>
      <c r="AF61" s="30"/>
    </row>
    <row r="62" spans="1:32" ht="12" thickBot="1" x14ac:dyDescent="0.25">
      <c r="B62" s="156" t="s">
        <v>1720</v>
      </c>
      <c r="C62" s="204" t="s">
        <v>1721</v>
      </c>
      <c r="D62" s="207">
        <v>5</v>
      </c>
      <c r="E62" s="48" t="s">
        <v>1421</v>
      </c>
      <c r="F62" s="47">
        <v>3</v>
      </c>
      <c r="G62" s="224">
        <v>140</v>
      </c>
      <c r="H62" s="49">
        <f>ROUNDUP(Tabela17812[[#This Row],[OLD PRICE]]*(1+PRICES!$C$6),0)</f>
        <v>168</v>
      </c>
      <c r="I62" s="49">
        <v>0.15</v>
      </c>
      <c r="J62" s="49" t="e">
        <f>[2]!Tabela17812[[#This Row],[PRICE]]*[2]!Tabela17812[[#This Row],[DISCOUNT per piece '[%']]]</f>
        <v>#REF!</v>
      </c>
      <c r="K62" s="49" t="e">
        <f>[2]!Tabela17812[[#This Row],[PRICE]]*(1-[2]!Tabela17812[[#This Row],[DISCOUNT per piece '[%']]])</f>
        <v>#REF!</v>
      </c>
      <c r="L62" s="49" t="e">
        <f>[2]!Tabela17812[[#This Row],[SETS]]*[2]!Tabela17812[[#This Row],[PROMOTIONAL PRICE]]</f>
        <v>#REF!</v>
      </c>
      <c r="M62" s="507" cm="1">
        <f t="array" ref="M62">ROUNDUP(Tabela17812[[#This Row],[NEW PRICE]]*eurofxref_daily[],2)</f>
        <v>270.27999999999997</v>
      </c>
      <c r="N62" s="506">
        <f>Tabela17812[[#This Row],[CAD PRICE]]*O62</f>
        <v>0</v>
      </c>
      <c r="O62" s="62">
        <f>SUM(Tabela17812[[#This Row],[RAL 1023]:[NEON ORANGE]])</f>
        <v>0</v>
      </c>
      <c r="P62" s="62">
        <f>Tabela17812[[#This Row],[SETS]]*Tabela17812[[#This Row],[Number of pcs]]</f>
        <v>0</v>
      </c>
      <c r="Q62" s="328">
        <f t="shared" si="4"/>
        <v>0</v>
      </c>
      <c r="R62" s="482"/>
      <c r="S62" s="486"/>
      <c r="T62" s="466"/>
      <c r="U62" s="435"/>
      <c r="V62" s="467"/>
      <c r="W62" s="468"/>
      <c r="X62" s="436"/>
      <c r="Y62" s="470"/>
      <c r="Z62" s="469"/>
      <c r="AA62" s="449"/>
      <c r="AB62" s="437"/>
      <c r="AC62" s="438"/>
      <c r="AD62" s="439"/>
      <c r="AE62" s="440"/>
      <c r="AF62" s="30"/>
    </row>
    <row r="63" spans="1:32" ht="12" thickBot="1" x14ac:dyDescent="0.25">
      <c r="B63" s="156" t="s">
        <v>1722</v>
      </c>
      <c r="C63" s="204" t="s">
        <v>1723</v>
      </c>
      <c r="D63" s="207">
        <v>5</v>
      </c>
      <c r="E63" s="48" t="s">
        <v>1421</v>
      </c>
      <c r="F63" s="47">
        <v>3.39</v>
      </c>
      <c r="G63" s="224">
        <v>147</v>
      </c>
      <c r="H63" s="49">
        <f>ROUNDUP(Tabela17812[[#This Row],[OLD PRICE]]*(1+PRICES!$C$6),0)</f>
        <v>177</v>
      </c>
      <c r="I63" s="49">
        <v>0.15</v>
      </c>
      <c r="J63" s="49" t="e">
        <f>[2]!Tabela17812[[#This Row],[PRICE]]*[2]!Tabela17812[[#This Row],[DISCOUNT per piece '[%']]]</f>
        <v>#REF!</v>
      </c>
      <c r="K63" s="49" t="e">
        <f>[2]!Tabela17812[[#This Row],[PRICE]]*(1-[2]!Tabela17812[[#This Row],[DISCOUNT per piece '[%']]])</f>
        <v>#REF!</v>
      </c>
      <c r="L63" s="49" t="e">
        <f>[2]!Tabela17812[[#This Row],[SETS]]*[2]!Tabela17812[[#This Row],[PROMOTIONAL PRICE]]</f>
        <v>#REF!</v>
      </c>
      <c r="M63" s="507" cm="1">
        <f t="array" ref="M63">ROUNDUP(Tabela17812[[#This Row],[NEW PRICE]]*eurofxref_daily[],2)</f>
        <v>284.76</v>
      </c>
      <c r="N63" s="506">
        <f>Tabela17812[[#This Row],[CAD PRICE]]*O63</f>
        <v>0</v>
      </c>
      <c r="O63" s="62">
        <f>SUM(Tabela17812[[#This Row],[RAL 1023]:[NEON ORANGE]])</f>
        <v>0</v>
      </c>
      <c r="P63" s="62">
        <f>Tabela17812[[#This Row],[SETS]]*Tabela17812[[#This Row],[Number of pcs]]</f>
        <v>0</v>
      </c>
      <c r="Q63" s="328">
        <f t="shared" si="4"/>
        <v>0</v>
      </c>
      <c r="R63" s="482"/>
      <c r="S63" s="486"/>
      <c r="T63" s="466"/>
      <c r="U63" s="435"/>
      <c r="V63" s="467"/>
      <c r="W63" s="468"/>
      <c r="X63" s="436"/>
      <c r="Y63" s="470"/>
      <c r="Z63" s="469"/>
      <c r="AA63" s="449"/>
      <c r="AB63" s="437"/>
      <c r="AC63" s="438"/>
      <c r="AD63" s="439"/>
      <c r="AE63" s="440"/>
      <c r="AF63" s="30"/>
    </row>
    <row r="64" spans="1:32" ht="12" thickBot="1" x14ac:dyDescent="0.25">
      <c r="B64" s="156" t="s">
        <v>1724</v>
      </c>
      <c r="C64" s="204" t="s">
        <v>1725</v>
      </c>
      <c r="D64" s="207">
        <v>2</v>
      </c>
      <c r="E64" s="48" t="s">
        <v>1416</v>
      </c>
      <c r="F64" s="47">
        <v>1.8</v>
      </c>
      <c r="G64" s="224">
        <v>99</v>
      </c>
      <c r="H64" s="49">
        <f>ROUNDUP(Tabela17812[[#This Row],[OLD PRICE]]*(1+PRICES!$C$6),0)</f>
        <v>119</v>
      </c>
      <c r="I64" s="49">
        <v>0.15</v>
      </c>
      <c r="J64" s="49" t="e">
        <f>[2]!Tabela17812[[#This Row],[PRICE]]*[2]!Tabela17812[[#This Row],[DISCOUNT per piece '[%']]]</f>
        <v>#REF!</v>
      </c>
      <c r="K64" s="49" t="e">
        <f>[2]!Tabela17812[[#This Row],[PRICE]]*(1-[2]!Tabela17812[[#This Row],[DISCOUNT per piece '[%']]])</f>
        <v>#REF!</v>
      </c>
      <c r="L64" s="49" t="e">
        <f>[2]!Tabela17812[[#This Row],[SETS]]*[2]!Tabela17812[[#This Row],[PROMOTIONAL PRICE]]</f>
        <v>#REF!</v>
      </c>
      <c r="M64" s="507" cm="1">
        <f t="array" ref="M64">ROUNDUP(Tabela17812[[#This Row],[NEW PRICE]]*eurofxref_daily[],2)</f>
        <v>191.45</v>
      </c>
      <c r="N64" s="506">
        <f>Tabela17812[[#This Row],[CAD PRICE]]*O64</f>
        <v>0</v>
      </c>
      <c r="O64" s="62">
        <f>SUM(Tabela17812[[#This Row],[RAL 1023]:[NEON ORANGE]])</f>
        <v>0</v>
      </c>
      <c r="P64" s="62">
        <f>Tabela17812[[#This Row],[SETS]]*Tabela17812[[#This Row],[Number of pcs]]</f>
        <v>0</v>
      </c>
      <c r="Q64" s="328">
        <f t="shared" si="4"/>
        <v>0</v>
      </c>
      <c r="R64" s="482"/>
      <c r="S64" s="486"/>
      <c r="T64" s="466"/>
      <c r="U64" s="435"/>
      <c r="V64" s="467"/>
      <c r="W64" s="468"/>
      <c r="X64" s="436"/>
      <c r="Y64" s="470"/>
      <c r="Z64" s="469"/>
      <c r="AA64" s="449"/>
      <c r="AB64" s="437"/>
      <c r="AC64" s="438"/>
      <c r="AD64" s="439"/>
      <c r="AE64" s="440"/>
      <c r="AF64" s="30"/>
    </row>
    <row r="65" spans="2:32" ht="12" thickBot="1" x14ac:dyDescent="0.25">
      <c r="B65" s="156" t="s">
        <v>1726</v>
      </c>
      <c r="C65" s="204" t="s">
        <v>1727</v>
      </c>
      <c r="D65" s="207">
        <v>2</v>
      </c>
      <c r="E65" s="48" t="s">
        <v>1416</v>
      </c>
      <c r="F65" s="47">
        <v>2.46</v>
      </c>
      <c r="G65" s="224">
        <v>111</v>
      </c>
      <c r="H65" s="49">
        <f>ROUNDUP(Tabela17812[[#This Row],[OLD PRICE]]*(1+PRICES!$C$6),0)</f>
        <v>134</v>
      </c>
      <c r="I65" s="49">
        <v>0.15</v>
      </c>
      <c r="J65" s="49" t="e">
        <f>[2]!Tabela17812[[#This Row],[PRICE]]*[2]!Tabela17812[[#This Row],[DISCOUNT per piece '[%']]]</f>
        <v>#REF!</v>
      </c>
      <c r="K65" s="49" t="e">
        <f>[2]!Tabela17812[[#This Row],[PRICE]]*(1-[2]!Tabela17812[[#This Row],[DISCOUNT per piece '[%']]])</f>
        <v>#REF!</v>
      </c>
      <c r="L65" s="49" t="e">
        <f>[2]!Tabela17812[[#This Row],[SETS]]*[2]!Tabela17812[[#This Row],[PROMOTIONAL PRICE]]</f>
        <v>#REF!</v>
      </c>
      <c r="M65" s="507" cm="1">
        <f t="array" ref="M65">ROUNDUP(Tabela17812[[#This Row],[NEW PRICE]]*eurofxref_daily[],2)</f>
        <v>215.57999999999998</v>
      </c>
      <c r="N65" s="506">
        <f>Tabela17812[[#This Row],[CAD PRICE]]*O65</f>
        <v>0</v>
      </c>
      <c r="O65" s="62">
        <f>SUM(Tabela17812[[#This Row],[RAL 1023]:[NEON ORANGE]])</f>
        <v>0</v>
      </c>
      <c r="P65" s="62">
        <f>Tabela17812[[#This Row],[SETS]]*Tabela17812[[#This Row],[Number of pcs]]</f>
        <v>0</v>
      </c>
      <c r="Q65" s="328">
        <f t="shared" si="4"/>
        <v>0</v>
      </c>
      <c r="R65" s="482"/>
      <c r="S65" s="486"/>
      <c r="T65" s="466"/>
      <c r="U65" s="435"/>
      <c r="V65" s="467"/>
      <c r="W65" s="468"/>
      <c r="X65" s="436"/>
      <c r="Y65" s="470"/>
      <c r="Z65" s="469"/>
      <c r="AA65" s="449"/>
      <c r="AB65" s="437"/>
      <c r="AC65" s="438"/>
      <c r="AD65" s="439"/>
      <c r="AE65" s="440"/>
      <c r="AF65" s="30"/>
    </row>
    <row r="66" spans="2:32" ht="12" thickBot="1" x14ac:dyDescent="0.25">
      <c r="B66" s="156" t="s">
        <v>1728</v>
      </c>
      <c r="C66" s="204" t="s">
        <v>1729</v>
      </c>
      <c r="D66" s="207">
        <v>2</v>
      </c>
      <c r="E66" s="48" t="s">
        <v>1416</v>
      </c>
      <c r="F66" s="47">
        <v>2.4500000000000002</v>
      </c>
      <c r="G66" s="224">
        <v>111</v>
      </c>
      <c r="H66" s="49">
        <f>ROUNDUP(Tabela17812[[#This Row],[OLD PRICE]]*(1+PRICES!$C$6),0)</f>
        <v>134</v>
      </c>
      <c r="I66" s="49">
        <v>0.15</v>
      </c>
      <c r="J66" s="49" t="e">
        <f>[2]!Tabela17812[[#This Row],[PRICE]]*[2]!Tabela17812[[#This Row],[DISCOUNT per piece '[%']]]</f>
        <v>#REF!</v>
      </c>
      <c r="K66" s="49" t="e">
        <f>[2]!Tabela17812[[#This Row],[PRICE]]*(1-[2]!Tabela17812[[#This Row],[DISCOUNT per piece '[%']]])</f>
        <v>#REF!</v>
      </c>
      <c r="L66" s="49" t="e">
        <f>[2]!Tabela17812[[#This Row],[SETS]]*[2]!Tabela17812[[#This Row],[PROMOTIONAL PRICE]]</f>
        <v>#REF!</v>
      </c>
      <c r="M66" s="507" cm="1">
        <f t="array" ref="M66">ROUNDUP(Tabela17812[[#This Row],[NEW PRICE]]*eurofxref_daily[],2)</f>
        <v>215.57999999999998</v>
      </c>
      <c r="N66" s="506">
        <f>Tabela17812[[#This Row],[CAD PRICE]]*O66</f>
        <v>0</v>
      </c>
      <c r="O66" s="62">
        <f>SUM(Tabela17812[[#This Row],[RAL 1023]:[NEON ORANGE]])</f>
        <v>0</v>
      </c>
      <c r="P66" s="62">
        <f>Tabela17812[[#This Row],[SETS]]*Tabela17812[[#This Row],[Number of pcs]]</f>
        <v>0</v>
      </c>
      <c r="Q66" s="328">
        <f t="shared" si="4"/>
        <v>0</v>
      </c>
      <c r="R66" s="482"/>
      <c r="S66" s="486"/>
      <c r="T66" s="466"/>
      <c r="U66" s="435"/>
      <c r="V66" s="467"/>
      <c r="W66" s="468"/>
      <c r="X66" s="436"/>
      <c r="Y66" s="470"/>
      <c r="Z66" s="469"/>
      <c r="AA66" s="449"/>
      <c r="AB66" s="437"/>
      <c r="AC66" s="438"/>
      <c r="AD66" s="439"/>
      <c r="AE66" s="440"/>
      <c r="AF66" s="30"/>
    </row>
    <row r="67" spans="2:32" ht="12" thickBot="1" x14ac:dyDescent="0.25">
      <c r="B67" s="156" t="s">
        <v>1730</v>
      </c>
      <c r="C67" s="204" t="s">
        <v>1731</v>
      </c>
      <c r="D67" s="207">
        <v>5</v>
      </c>
      <c r="E67" s="48" t="s">
        <v>1732</v>
      </c>
      <c r="F67" s="47">
        <v>2.16</v>
      </c>
      <c r="G67" s="224">
        <v>91</v>
      </c>
      <c r="H67" s="49">
        <f>ROUNDUP(Tabela17812[[#This Row],[OLD PRICE]]*(1+PRICES!$C$6),0)</f>
        <v>110</v>
      </c>
      <c r="I67" s="49">
        <v>0.15</v>
      </c>
      <c r="J67" s="49" t="e">
        <f>[2]!Tabela17812[[#This Row],[PRICE]]*[2]!Tabela17812[[#This Row],[DISCOUNT per piece '[%']]]</f>
        <v>#REF!</v>
      </c>
      <c r="K67" s="49" t="e">
        <f>[2]!Tabela17812[[#This Row],[PRICE]]*(1-[2]!Tabela17812[[#This Row],[DISCOUNT per piece '[%']]])</f>
        <v>#REF!</v>
      </c>
      <c r="L67" s="49" t="e">
        <f>[2]!Tabela17812[[#This Row],[SETS]]*[2]!Tabela17812[[#This Row],[PROMOTIONAL PRICE]]</f>
        <v>#REF!</v>
      </c>
      <c r="M67" s="507" cm="1">
        <f t="array" ref="M67">ROUNDUP(Tabela17812[[#This Row],[NEW PRICE]]*eurofxref_daily[],2)</f>
        <v>176.97</v>
      </c>
      <c r="N67" s="506">
        <f>Tabela17812[[#This Row],[CAD PRICE]]*O67</f>
        <v>0</v>
      </c>
      <c r="O67" s="62">
        <f>SUM(Tabela17812[[#This Row],[RAL 1023]:[NEON ORANGE]])</f>
        <v>0</v>
      </c>
      <c r="P67" s="62">
        <f>Tabela17812[[#This Row],[SETS]]*Tabela17812[[#This Row],[Number of pcs]]</f>
        <v>0</v>
      </c>
      <c r="Q67" s="328">
        <f t="shared" si="4"/>
        <v>0</v>
      </c>
      <c r="R67" s="482"/>
      <c r="S67" s="486"/>
      <c r="T67" s="466"/>
      <c r="U67" s="435"/>
      <c r="V67" s="467"/>
      <c r="W67" s="468"/>
      <c r="X67" s="436"/>
      <c r="Y67" s="470"/>
      <c r="Z67" s="469"/>
      <c r="AA67" s="449"/>
      <c r="AB67" s="437"/>
      <c r="AC67" s="438"/>
      <c r="AD67" s="439"/>
      <c r="AE67" s="440"/>
      <c r="AF67" s="30"/>
    </row>
    <row r="68" spans="2:32" ht="12" thickBot="1" x14ac:dyDescent="0.25">
      <c r="B68" s="151" t="s">
        <v>1796</v>
      </c>
      <c r="C68" s="126"/>
      <c r="D68" s="126"/>
      <c r="E68" s="124"/>
      <c r="F68" s="124"/>
      <c r="G68" s="364"/>
      <c r="H68" s="362"/>
      <c r="I68" s="364"/>
      <c r="J68" s="364">
        <f>Tabela17812[[#This Row],[OLD PRICE]]*Tabela17812[[#This Row],[DISCOUNT per piece '[%']]]</f>
        <v>0</v>
      </c>
      <c r="K68" s="364">
        <f>Tabela17812[[#This Row],[OLD PRICE]]*(1-Tabela17812[[#This Row],[DISCOUNT per piece '[%']]])</f>
        <v>0</v>
      </c>
      <c r="L68" s="364">
        <f>Tabela17812[[#This Row],[SETS]]*Tabela17812[[#This Row],[PROMOTIONAL PRICE]]</f>
        <v>0</v>
      </c>
      <c r="M68" s="362"/>
      <c r="N68" s="362"/>
      <c r="O68" s="366"/>
      <c r="P68" s="80"/>
      <c r="Q68" s="140"/>
      <c r="R68" s="80"/>
      <c r="S68" s="80"/>
      <c r="T68" s="80"/>
      <c r="U68" s="80"/>
      <c r="V68" s="80"/>
      <c r="W68" s="80"/>
      <c r="X68" s="80"/>
      <c r="Y68" s="80"/>
      <c r="Z68" s="457"/>
      <c r="AA68" s="454"/>
      <c r="AB68" s="353"/>
      <c r="AC68" s="353"/>
      <c r="AD68" s="353"/>
      <c r="AE68" s="353"/>
      <c r="AF68" s="30"/>
    </row>
    <row r="69" spans="2:32" ht="12" thickBot="1" x14ac:dyDescent="0.25">
      <c r="B69" s="327" t="s">
        <v>1768</v>
      </c>
      <c r="C69" s="204" t="s">
        <v>1781</v>
      </c>
      <c r="D69" s="207">
        <v>5</v>
      </c>
      <c r="E69" s="48" t="s">
        <v>1713</v>
      </c>
      <c r="F69" s="47">
        <v>0.53</v>
      </c>
      <c r="G69" s="224">
        <v>27</v>
      </c>
      <c r="H69" s="49">
        <f>ROUNDUP(Tabela17812[[#This Row],[OLD PRICE]]*(1+PRICES!$C$6),0)</f>
        <v>33</v>
      </c>
      <c r="I69" s="49">
        <v>0.15</v>
      </c>
      <c r="J69" s="49" t="e">
        <f>[2]!Tabela17812[[#This Row],[PRICE]]*[2]!Tabela17812[[#This Row],[DISCOUNT per piece '[%']]]</f>
        <v>#REF!</v>
      </c>
      <c r="K69" s="49" t="e">
        <f>[2]!Tabela17812[[#This Row],[PRICE]]*(1-[2]!Tabela17812[[#This Row],[DISCOUNT per piece '[%']]])</f>
        <v>#REF!</v>
      </c>
      <c r="L69" s="49" t="e">
        <f>[2]!Tabela17812[[#This Row],[SETS]]*[2]!Tabela17812[[#This Row],[PROMOTIONAL PRICE]]</f>
        <v>#REF!</v>
      </c>
      <c r="M69" s="507" cm="1">
        <f t="array" ref="M69">ROUNDUP(Tabela17812[[#This Row],[NEW PRICE]]*eurofxref_daily[],2)</f>
        <v>53.1</v>
      </c>
      <c r="N69" s="506">
        <f>Tabela17812[[#This Row],[CAD PRICE]]*O69</f>
        <v>0</v>
      </c>
      <c r="O69" s="128">
        <f>SUM(Tabela17812[[#This Row],[RAL 1023]:[NEON ORANGE]])</f>
        <v>0</v>
      </c>
      <c r="P69" s="62">
        <f>Tabela17812[[#This Row],[SETS]]*Tabela17812[[#This Row],[Number of pcs]]</f>
        <v>0</v>
      </c>
      <c r="Q69" s="328">
        <f t="shared" si="4"/>
        <v>0</v>
      </c>
      <c r="R69" s="482"/>
      <c r="S69" s="486"/>
      <c r="T69" s="466"/>
      <c r="U69" s="435"/>
      <c r="V69" s="467"/>
      <c r="W69" s="468"/>
      <c r="X69" s="436"/>
      <c r="Y69" s="470"/>
      <c r="Z69" s="469"/>
      <c r="AA69" s="449"/>
      <c r="AB69" s="437"/>
      <c r="AC69" s="438"/>
      <c r="AD69" s="439"/>
      <c r="AE69" s="440"/>
      <c r="AF69" s="30"/>
    </row>
    <row r="70" spans="2:32" ht="12" thickBot="1" x14ac:dyDescent="0.25">
      <c r="B70" s="327" t="s">
        <v>1767</v>
      </c>
      <c r="C70" s="204" t="s">
        <v>1782</v>
      </c>
      <c r="D70" s="207">
        <v>5</v>
      </c>
      <c r="E70" s="48" t="s">
        <v>1444</v>
      </c>
      <c r="F70" s="47">
        <v>2.1</v>
      </c>
      <c r="G70" s="224">
        <v>94</v>
      </c>
      <c r="H70" s="49">
        <f>ROUNDUP(Tabela17812[[#This Row],[OLD PRICE]]*(1+PRICES!$C$6),0)</f>
        <v>113</v>
      </c>
      <c r="I70" s="49">
        <v>0.15</v>
      </c>
      <c r="J70" s="49" t="e">
        <f>[2]!Tabela17812[[#This Row],[PRICE]]*[2]!Tabela17812[[#This Row],[DISCOUNT per piece '[%']]]</f>
        <v>#REF!</v>
      </c>
      <c r="K70" s="49" t="e">
        <f>[2]!Tabela17812[[#This Row],[PRICE]]*(1-[2]!Tabela17812[[#This Row],[DISCOUNT per piece '[%']]])</f>
        <v>#REF!</v>
      </c>
      <c r="L70" s="49" t="e">
        <f>[2]!Tabela17812[[#This Row],[SETS]]*[2]!Tabela17812[[#This Row],[PROMOTIONAL PRICE]]</f>
        <v>#REF!</v>
      </c>
      <c r="M70" s="507" cm="1">
        <f t="array" ref="M70">ROUNDUP(Tabela17812[[#This Row],[NEW PRICE]]*eurofxref_daily[],2)</f>
        <v>181.79999999999998</v>
      </c>
      <c r="N70" s="506">
        <f>Tabela17812[[#This Row],[CAD PRICE]]*O70</f>
        <v>0</v>
      </c>
      <c r="O70" s="128">
        <f>SUM(Tabela17812[[#This Row],[RAL 1023]:[NEON ORANGE]])</f>
        <v>0</v>
      </c>
      <c r="P70" s="62">
        <f>Tabela17812[[#This Row],[SETS]]*Tabela17812[[#This Row],[Number of pcs]]</f>
        <v>0</v>
      </c>
      <c r="Q70" s="328">
        <f t="shared" si="4"/>
        <v>0</v>
      </c>
      <c r="R70" s="482"/>
      <c r="S70" s="486"/>
      <c r="T70" s="466"/>
      <c r="U70" s="435"/>
      <c r="V70" s="467"/>
      <c r="W70" s="468"/>
      <c r="X70" s="436"/>
      <c r="Y70" s="470"/>
      <c r="Z70" s="469"/>
      <c r="AA70" s="449"/>
      <c r="AB70" s="437"/>
      <c r="AC70" s="438"/>
      <c r="AD70" s="439"/>
      <c r="AE70" s="440"/>
      <c r="AF70" s="30"/>
    </row>
    <row r="71" spans="2:32" ht="12" thickBot="1" x14ac:dyDescent="0.25">
      <c r="B71" s="327" t="s">
        <v>1769</v>
      </c>
      <c r="C71" s="204" t="s">
        <v>1783</v>
      </c>
      <c r="D71" s="207">
        <v>3</v>
      </c>
      <c r="E71" s="48" t="s">
        <v>660</v>
      </c>
      <c r="F71" s="47">
        <v>2.23</v>
      </c>
      <c r="G71" s="224">
        <v>67</v>
      </c>
      <c r="H71" s="49">
        <f>ROUNDUP(Tabela17812[[#This Row],[OLD PRICE]]*(1+PRICES!$C$6),0)</f>
        <v>81</v>
      </c>
      <c r="I71" s="49">
        <v>0.15</v>
      </c>
      <c r="J71" s="49" t="e">
        <f>[2]!Tabela17812[[#This Row],[PRICE]]*[2]!Tabela17812[[#This Row],[DISCOUNT per piece '[%']]]</f>
        <v>#REF!</v>
      </c>
      <c r="K71" s="49" t="e">
        <f>[2]!Tabela17812[[#This Row],[PRICE]]*(1-[2]!Tabela17812[[#This Row],[DISCOUNT per piece '[%']]])</f>
        <v>#REF!</v>
      </c>
      <c r="L71" s="49" t="e">
        <f>[2]!Tabela17812[[#This Row],[SETS]]*[2]!Tabela17812[[#This Row],[PROMOTIONAL PRICE]]</f>
        <v>#REF!</v>
      </c>
      <c r="M71" s="507" cm="1">
        <f t="array" ref="M71">ROUNDUP(Tabela17812[[#This Row],[NEW PRICE]]*eurofxref_daily[],2)</f>
        <v>130.32</v>
      </c>
      <c r="N71" s="506">
        <f>Tabela17812[[#This Row],[CAD PRICE]]*O71</f>
        <v>0</v>
      </c>
      <c r="O71" s="128">
        <f>SUM(Tabela17812[[#This Row],[RAL 1023]:[NEON ORANGE]])</f>
        <v>0</v>
      </c>
      <c r="P71" s="62">
        <f>Tabela17812[[#This Row],[SETS]]*Tabela17812[[#This Row],[Number of pcs]]</f>
        <v>0</v>
      </c>
      <c r="Q71" s="328">
        <f t="shared" si="4"/>
        <v>0</v>
      </c>
      <c r="R71" s="482"/>
      <c r="S71" s="486"/>
      <c r="T71" s="466"/>
      <c r="U71" s="435"/>
      <c r="V71" s="467"/>
      <c r="W71" s="468"/>
      <c r="X71" s="436"/>
      <c r="Y71" s="470"/>
      <c r="Z71" s="469"/>
      <c r="AA71" s="449"/>
      <c r="AB71" s="437"/>
      <c r="AC71" s="438"/>
      <c r="AD71" s="439"/>
      <c r="AE71" s="440"/>
      <c r="AF71" s="30"/>
    </row>
    <row r="72" spans="2:32" ht="12" thickBot="1" x14ac:dyDescent="0.25">
      <c r="B72" s="327" t="s">
        <v>1770</v>
      </c>
      <c r="C72" s="204" t="s">
        <v>1784</v>
      </c>
      <c r="D72" s="207">
        <v>3</v>
      </c>
      <c r="E72" s="48" t="s">
        <v>660</v>
      </c>
      <c r="F72" s="47">
        <v>1.83</v>
      </c>
      <c r="G72" s="224">
        <v>68</v>
      </c>
      <c r="H72" s="49">
        <f>ROUNDUP(Tabela17812[[#This Row],[OLD PRICE]]*(1+PRICES!$C$6),0)</f>
        <v>82</v>
      </c>
      <c r="I72" s="49">
        <v>0.15</v>
      </c>
      <c r="J72" s="49" t="e">
        <f>[2]!Tabela17812[[#This Row],[PRICE]]*[2]!Tabela17812[[#This Row],[DISCOUNT per piece '[%']]]</f>
        <v>#REF!</v>
      </c>
      <c r="K72" s="49" t="e">
        <f>[2]!Tabela17812[[#This Row],[PRICE]]*(1-[2]!Tabela17812[[#This Row],[DISCOUNT per piece '[%']]])</f>
        <v>#REF!</v>
      </c>
      <c r="L72" s="49" t="e">
        <f>[2]!Tabela17812[[#This Row],[SETS]]*[2]!Tabela17812[[#This Row],[PROMOTIONAL PRICE]]</f>
        <v>#REF!</v>
      </c>
      <c r="M72" s="507" cm="1">
        <f t="array" ref="M72">ROUNDUP(Tabela17812[[#This Row],[NEW PRICE]]*eurofxref_daily[],2)</f>
        <v>131.92999999999998</v>
      </c>
      <c r="N72" s="506">
        <f>Tabela17812[[#This Row],[CAD PRICE]]*O72</f>
        <v>0</v>
      </c>
      <c r="O72" s="128">
        <f>SUM(Tabela17812[[#This Row],[RAL 1023]:[NEON ORANGE]])</f>
        <v>0</v>
      </c>
      <c r="P72" s="62">
        <f>Tabela17812[[#This Row],[SETS]]*Tabela17812[[#This Row],[Number of pcs]]</f>
        <v>0</v>
      </c>
      <c r="Q72" s="328">
        <f t="shared" si="4"/>
        <v>0</v>
      </c>
      <c r="R72" s="482"/>
      <c r="S72" s="486"/>
      <c r="T72" s="466"/>
      <c r="U72" s="435"/>
      <c r="V72" s="467"/>
      <c r="W72" s="468"/>
      <c r="X72" s="436"/>
      <c r="Y72" s="470"/>
      <c r="Z72" s="469"/>
      <c r="AA72" s="449"/>
      <c r="AB72" s="437"/>
      <c r="AC72" s="438"/>
      <c r="AD72" s="439"/>
      <c r="AE72" s="440"/>
      <c r="AF72" s="30"/>
    </row>
    <row r="73" spans="2:32" ht="12" thickBot="1" x14ac:dyDescent="0.25">
      <c r="B73" s="327" t="s">
        <v>1771</v>
      </c>
      <c r="C73" s="204" t="s">
        <v>1785</v>
      </c>
      <c r="D73" s="207">
        <v>3</v>
      </c>
      <c r="E73" s="48" t="s">
        <v>660</v>
      </c>
      <c r="F73" s="47">
        <v>3</v>
      </c>
      <c r="G73" s="224">
        <v>101</v>
      </c>
      <c r="H73" s="49">
        <f>ROUNDUP(Tabela17812[[#This Row],[OLD PRICE]]*(1+PRICES!$C$6),0)</f>
        <v>122</v>
      </c>
      <c r="I73" s="49">
        <v>0.15</v>
      </c>
      <c r="J73" s="49" t="e">
        <f>[2]!Tabela17812[[#This Row],[PRICE]]*[2]!Tabela17812[[#This Row],[DISCOUNT per piece '[%']]]</f>
        <v>#REF!</v>
      </c>
      <c r="K73" s="49" t="e">
        <f>[2]!Tabela17812[[#This Row],[PRICE]]*(1-[2]!Tabela17812[[#This Row],[DISCOUNT per piece '[%']]])</f>
        <v>#REF!</v>
      </c>
      <c r="L73" s="49" t="e">
        <f>[2]!Tabela17812[[#This Row],[SETS]]*[2]!Tabela17812[[#This Row],[PROMOTIONAL PRICE]]</f>
        <v>#REF!</v>
      </c>
      <c r="M73" s="507" cm="1">
        <f t="array" ref="M73">ROUNDUP(Tabela17812[[#This Row],[NEW PRICE]]*eurofxref_daily[],2)</f>
        <v>196.28</v>
      </c>
      <c r="N73" s="506">
        <f>Tabela17812[[#This Row],[CAD PRICE]]*O73</f>
        <v>0</v>
      </c>
      <c r="O73" s="128">
        <f>SUM(Tabela17812[[#This Row],[RAL 1023]:[NEON ORANGE]])</f>
        <v>0</v>
      </c>
      <c r="P73" s="62">
        <f>Tabela17812[[#This Row],[SETS]]*Tabela17812[[#This Row],[Number of pcs]]</f>
        <v>0</v>
      </c>
      <c r="Q73" s="328">
        <f t="shared" si="4"/>
        <v>0</v>
      </c>
      <c r="R73" s="482"/>
      <c r="S73" s="486"/>
      <c r="T73" s="466"/>
      <c r="U73" s="435"/>
      <c r="V73" s="467"/>
      <c r="W73" s="468"/>
      <c r="X73" s="436"/>
      <c r="Y73" s="470"/>
      <c r="Z73" s="469"/>
      <c r="AA73" s="449"/>
      <c r="AB73" s="437"/>
      <c r="AC73" s="438"/>
      <c r="AD73" s="439"/>
      <c r="AE73" s="440"/>
      <c r="AF73" s="30"/>
    </row>
    <row r="74" spans="2:32" ht="12" thickBot="1" x14ac:dyDescent="0.25">
      <c r="B74" s="327" t="s">
        <v>1772</v>
      </c>
      <c r="C74" s="204" t="s">
        <v>1786</v>
      </c>
      <c r="D74" s="207">
        <v>3</v>
      </c>
      <c r="E74" s="48" t="s">
        <v>660</v>
      </c>
      <c r="F74" s="47">
        <v>3.39</v>
      </c>
      <c r="G74" s="224">
        <v>93</v>
      </c>
      <c r="H74" s="49">
        <f>ROUNDUP(Tabela17812[[#This Row],[OLD PRICE]]*(1+PRICES!$C$6),0)</f>
        <v>112</v>
      </c>
      <c r="I74" s="49">
        <v>0.15</v>
      </c>
      <c r="J74" s="49" t="e">
        <f>[2]!Tabela17812[[#This Row],[PRICE]]*[2]!Tabela17812[[#This Row],[DISCOUNT per piece '[%']]]</f>
        <v>#REF!</v>
      </c>
      <c r="K74" s="49" t="e">
        <f>[2]!Tabela17812[[#This Row],[PRICE]]*(1-[2]!Tabela17812[[#This Row],[DISCOUNT per piece '[%']]])</f>
        <v>#REF!</v>
      </c>
      <c r="L74" s="49" t="e">
        <f>[2]!Tabela17812[[#This Row],[SETS]]*[2]!Tabela17812[[#This Row],[PROMOTIONAL PRICE]]</f>
        <v>#REF!</v>
      </c>
      <c r="M74" s="507" cm="1">
        <f t="array" ref="M74">ROUNDUP(Tabela17812[[#This Row],[NEW PRICE]]*eurofxref_daily[],2)</f>
        <v>180.19</v>
      </c>
      <c r="N74" s="506">
        <f>Tabela17812[[#This Row],[CAD PRICE]]*O74</f>
        <v>0</v>
      </c>
      <c r="O74" s="128">
        <f>SUM(Tabela17812[[#This Row],[RAL 1023]:[NEON ORANGE]])</f>
        <v>0</v>
      </c>
      <c r="P74" s="62">
        <f>Tabela17812[[#This Row],[SETS]]*Tabela17812[[#This Row],[Number of pcs]]</f>
        <v>0</v>
      </c>
      <c r="Q74" s="328">
        <f t="shared" si="4"/>
        <v>0</v>
      </c>
      <c r="R74" s="482"/>
      <c r="S74" s="486"/>
      <c r="T74" s="466"/>
      <c r="U74" s="435"/>
      <c r="V74" s="467"/>
      <c r="W74" s="468"/>
      <c r="X74" s="436"/>
      <c r="Y74" s="470"/>
      <c r="Z74" s="469"/>
      <c r="AA74" s="449"/>
      <c r="AB74" s="437"/>
      <c r="AC74" s="438"/>
      <c r="AD74" s="439"/>
      <c r="AE74" s="440"/>
      <c r="AF74" s="30"/>
    </row>
    <row r="75" spans="2:32" ht="12" thickBot="1" x14ac:dyDescent="0.25">
      <c r="B75" s="327" t="s">
        <v>1773</v>
      </c>
      <c r="C75" s="204" t="s">
        <v>1787</v>
      </c>
      <c r="D75" s="207">
        <v>2</v>
      </c>
      <c r="E75" s="48" t="s">
        <v>1421</v>
      </c>
      <c r="F75" s="47">
        <v>1.8</v>
      </c>
      <c r="G75" s="224">
        <v>104</v>
      </c>
      <c r="H75" s="49">
        <f>ROUNDUP(Tabela17812[[#This Row],[OLD PRICE]]*(1+PRICES!$C$6),0)</f>
        <v>125</v>
      </c>
      <c r="I75" s="49">
        <v>0.15</v>
      </c>
      <c r="J75" s="49" t="e">
        <f>[2]!Tabela17812[[#This Row],[PRICE]]*[2]!Tabela17812[[#This Row],[DISCOUNT per piece '[%']]]</f>
        <v>#REF!</v>
      </c>
      <c r="K75" s="49" t="e">
        <f>[2]!Tabela17812[[#This Row],[PRICE]]*(1-[2]!Tabela17812[[#This Row],[DISCOUNT per piece '[%']]])</f>
        <v>#REF!</v>
      </c>
      <c r="L75" s="49" t="e">
        <f>[2]!Tabela17812[[#This Row],[SETS]]*[2]!Tabela17812[[#This Row],[PROMOTIONAL PRICE]]</f>
        <v>#REF!</v>
      </c>
      <c r="M75" s="507" cm="1">
        <f t="array" ref="M75">ROUNDUP(Tabela17812[[#This Row],[NEW PRICE]]*eurofxref_daily[],2)</f>
        <v>201.1</v>
      </c>
      <c r="N75" s="506">
        <f>Tabela17812[[#This Row],[CAD PRICE]]*O75</f>
        <v>0</v>
      </c>
      <c r="O75" s="128">
        <f>SUM(Tabela17812[[#This Row],[RAL 1023]:[NEON ORANGE]])</f>
        <v>0</v>
      </c>
      <c r="P75" s="62">
        <f>Tabela17812[[#This Row],[SETS]]*Tabela17812[[#This Row],[Number of pcs]]</f>
        <v>0</v>
      </c>
      <c r="Q75" s="328">
        <f t="shared" si="4"/>
        <v>0</v>
      </c>
      <c r="R75" s="482"/>
      <c r="S75" s="486"/>
      <c r="T75" s="466"/>
      <c r="U75" s="435"/>
      <c r="V75" s="467"/>
      <c r="W75" s="468"/>
      <c r="X75" s="436"/>
      <c r="Y75" s="470"/>
      <c r="Z75" s="469"/>
      <c r="AA75" s="449"/>
      <c r="AB75" s="437"/>
      <c r="AC75" s="438"/>
      <c r="AD75" s="439"/>
      <c r="AE75" s="440"/>
      <c r="AF75" s="30"/>
    </row>
    <row r="76" spans="2:32" ht="12" thickBot="1" x14ac:dyDescent="0.25">
      <c r="B76" s="327" t="s">
        <v>1774</v>
      </c>
      <c r="C76" s="204" t="s">
        <v>1788</v>
      </c>
      <c r="D76" s="207">
        <v>2</v>
      </c>
      <c r="E76" s="48" t="s">
        <v>1421</v>
      </c>
      <c r="F76" s="47">
        <v>2.46</v>
      </c>
      <c r="G76" s="224">
        <v>91</v>
      </c>
      <c r="H76" s="49">
        <f>ROUNDUP(Tabela17812[[#This Row],[OLD PRICE]]*(1+PRICES!$C$6),0)</f>
        <v>110</v>
      </c>
      <c r="I76" s="49">
        <v>0.15</v>
      </c>
      <c r="J76" s="49" t="e">
        <f>[2]!Tabela17812[[#This Row],[PRICE]]*[2]!Tabela17812[[#This Row],[DISCOUNT per piece '[%']]]</f>
        <v>#REF!</v>
      </c>
      <c r="K76" s="49" t="e">
        <f>[2]!Tabela17812[[#This Row],[PRICE]]*(1-[2]!Tabela17812[[#This Row],[DISCOUNT per piece '[%']]])</f>
        <v>#REF!</v>
      </c>
      <c r="L76" s="49" t="e">
        <f>[2]!Tabela17812[[#This Row],[SETS]]*[2]!Tabela17812[[#This Row],[PROMOTIONAL PRICE]]</f>
        <v>#REF!</v>
      </c>
      <c r="M76" s="507" cm="1">
        <f t="array" ref="M76">ROUNDUP(Tabela17812[[#This Row],[NEW PRICE]]*eurofxref_daily[],2)</f>
        <v>176.97</v>
      </c>
      <c r="N76" s="506">
        <f>Tabela17812[[#This Row],[CAD PRICE]]*O76</f>
        <v>0</v>
      </c>
      <c r="O76" s="128">
        <f>SUM(Tabela17812[[#This Row],[RAL 1023]:[NEON ORANGE]])</f>
        <v>0</v>
      </c>
      <c r="P76" s="62">
        <f>Tabela17812[[#This Row],[SETS]]*Tabela17812[[#This Row],[Number of pcs]]</f>
        <v>0</v>
      </c>
      <c r="Q76" s="328">
        <f t="shared" si="4"/>
        <v>0</v>
      </c>
      <c r="R76" s="482"/>
      <c r="S76" s="486"/>
      <c r="T76" s="466"/>
      <c r="U76" s="435"/>
      <c r="V76" s="467"/>
      <c r="W76" s="468"/>
      <c r="X76" s="436"/>
      <c r="Y76" s="470"/>
      <c r="Z76" s="469"/>
      <c r="AA76" s="449"/>
      <c r="AB76" s="437"/>
      <c r="AC76" s="438"/>
      <c r="AD76" s="439"/>
      <c r="AE76" s="440"/>
      <c r="AF76" s="30"/>
    </row>
    <row r="77" spans="2:32" ht="12" thickBot="1" x14ac:dyDescent="0.25">
      <c r="B77" s="327" t="s">
        <v>1775</v>
      </c>
      <c r="C77" s="204" t="s">
        <v>1789</v>
      </c>
      <c r="D77" s="207">
        <v>2</v>
      </c>
      <c r="E77" s="48" t="s">
        <v>1421</v>
      </c>
      <c r="F77" s="47">
        <v>2.4500000000000002</v>
      </c>
      <c r="G77" s="224">
        <v>122</v>
      </c>
      <c r="H77" s="49">
        <f>ROUNDUP(Tabela17812[[#This Row],[OLD PRICE]]*(1+PRICES!$C$6),0)</f>
        <v>147</v>
      </c>
      <c r="I77" s="49">
        <v>0.15</v>
      </c>
      <c r="J77" s="49" t="e">
        <f>[2]!Tabela17812[[#This Row],[PRICE]]*[2]!Tabela17812[[#This Row],[DISCOUNT per piece '[%']]]</f>
        <v>#REF!</v>
      </c>
      <c r="K77" s="49" t="e">
        <f>[2]!Tabela17812[[#This Row],[PRICE]]*(1-[2]!Tabela17812[[#This Row],[DISCOUNT per piece '[%']]])</f>
        <v>#REF!</v>
      </c>
      <c r="L77" s="49" t="e">
        <f>[2]!Tabela17812[[#This Row],[SETS]]*[2]!Tabela17812[[#This Row],[PROMOTIONAL PRICE]]</f>
        <v>#REF!</v>
      </c>
      <c r="M77" s="507" cm="1">
        <f t="array" ref="M77">ROUNDUP(Tabela17812[[#This Row],[NEW PRICE]]*eurofxref_daily[],2)</f>
        <v>236.5</v>
      </c>
      <c r="N77" s="506">
        <f>Tabela17812[[#This Row],[CAD PRICE]]*O77</f>
        <v>0</v>
      </c>
      <c r="O77" s="128">
        <f>SUM(Tabela17812[[#This Row],[RAL 1023]:[NEON ORANGE]])</f>
        <v>0</v>
      </c>
      <c r="P77" s="62">
        <f>Tabela17812[[#This Row],[SETS]]*Tabela17812[[#This Row],[Number of pcs]]</f>
        <v>0</v>
      </c>
      <c r="Q77" s="328">
        <f t="shared" si="4"/>
        <v>0</v>
      </c>
      <c r="R77" s="482"/>
      <c r="S77" s="486"/>
      <c r="T77" s="466"/>
      <c r="U77" s="435"/>
      <c r="V77" s="467"/>
      <c r="W77" s="468"/>
      <c r="X77" s="436"/>
      <c r="Y77" s="470"/>
      <c r="Z77" s="469"/>
      <c r="AA77" s="449"/>
      <c r="AB77" s="437"/>
      <c r="AC77" s="438"/>
      <c r="AD77" s="439"/>
      <c r="AE77" s="440"/>
      <c r="AF77" s="30"/>
    </row>
    <row r="78" spans="2:32" ht="12" thickBot="1" x14ac:dyDescent="0.25">
      <c r="B78" s="327" t="s">
        <v>1776</v>
      </c>
      <c r="C78" s="204" t="s">
        <v>1790</v>
      </c>
      <c r="D78" s="207">
        <v>3</v>
      </c>
      <c r="E78" s="48" t="s">
        <v>1421</v>
      </c>
      <c r="F78" s="47">
        <v>2.16</v>
      </c>
      <c r="G78" s="224">
        <v>158</v>
      </c>
      <c r="H78" s="49">
        <f>ROUNDUP(Tabela17812[[#This Row],[OLD PRICE]]*(1+PRICES!$C$6),0)</f>
        <v>190</v>
      </c>
      <c r="I78" s="49">
        <v>0.15</v>
      </c>
      <c r="J78" s="49" t="e">
        <f>[2]!Tabela17812[[#This Row],[PRICE]]*[2]!Tabela17812[[#This Row],[DISCOUNT per piece '[%']]]</f>
        <v>#REF!</v>
      </c>
      <c r="K78" s="49" t="e">
        <f>[2]!Tabela17812[[#This Row],[PRICE]]*(1-[2]!Tabela17812[[#This Row],[DISCOUNT per piece '[%']]])</f>
        <v>#REF!</v>
      </c>
      <c r="L78" s="49" t="e">
        <f>[2]!Tabela17812[[#This Row],[SETS]]*[2]!Tabela17812[[#This Row],[PROMOTIONAL PRICE]]</f>
        <v>#REF!</v>
      </c>
      <c r="M78" s="507" cm="1">
        <f t="array" ref="M78">ROUNDUP(Tabela17812[[#This Row],[NEW PRICE]]*eurofxref_daily[],2)</f>
        <v>305.68</v>
      </c>
      <c r="N78" s="506">
        <f>Tabela17812[[#This Row],[CAD PRICE]]*O78</f>
        <v>0</v>
      </c>
      <c r="O78" s="150">
        <f>SUM(Tabela17812[[#This Row],[RAL 1023]:[NEON ORANGE]])</f>
        <v>0</v>
      </c>
      <c r="P78" s="153">
        <f>Tabela17812[[#This Row],[SETS]]*Tabela17812[[#This Row],[Number of pcs]]</f>
        <v>0</v>
      </c>
      <c r="Q78" s="328">
        <f t="shared" si="4"/>
        <v>0</v>
      </c>
      <c r="R78" s="482"/>
      <c r="S78" s="486"/>
      <c r="T78" s="466"/>
      <c r="U78" s="435"/>
      <c r="V78" s="467"/>
      <c r="W78" s="468"/>
      <c r="X78" s="436"/>
      <c r="Y78" s="470"/>
      <c r="Z78" s="469"/>
      <c r="AA78" s="449"/>
      <c r="AB78" s="437"/>
      <c r="AC78" s="438"/>
      <c r="AD78" s="439"/>
      <c r="AE78" s="440"/>
      <c r="AF78" s="30"/>
    </row>
    <row r="79" spans="2:32" ht="12" thickBot="1" x14ac:dyDescent="0.25">
      <c r="B79" s="327" t="s">
        <v>1777</v>
      </c>
      <c r="C79" s="204" t="s">
        <v>1791</v>
      </c>
      <c r="D79" s="216">
        <v>2</v>
      </c>
      <c r="E79" s="48" t="s">
        <v>1416</v>
      </c>
      <c r="F79" s="47">
        <v>3</v>
      </c>
      <c r="G79" s="224">
        <v>134</v>
      </c>
      <c r="H79" s="49">
        <f>ROUNDUP(Tabela17812[[#This Row],[OLD PRICE]]*(1+PRICES!$C$6),0)</f>
        <v>161</v>
      </c>
      <c r="I79" s="49"/>
      <c r="J79" s="49">
        <f>Tabela17812[[#This Row],[OLD PRICE]]*Tabela17812[[#This Row],[DISCOUNT per piece '[%']]]</f>
        <v>0</v>
      </c>
      <c r="K79" s="49">
        <f>Tabela17812[[#This Row],[OLD PRICE]]*(1-Tabela17812[[#This Row],[DISCOUNT per piece '[%']]])</f>
        <v>134</v>
      </c>
      <c r="L79" s="49">
        <f>Tabela17812[[#This Row],[SETS]]*Tabela17812[[#This Row],[PROMOTIONAL PRICE]]</f>
        <v>0</v>
      </c>
      <c r="M79" s="507" cm="1">
        <f t="array" ref="M79">ROUNDUP(Tabela17812[[#This Row],[NEW PRICE]]*eurofxref_daily[],2)</f>
        <v>259.02</v>
      </c>
      <c r="N79" s="506">
        <f>Tabela17812[[#This Row],[CAD PRICE]]*O79</f>
        <v>0</v>
      </c>
      <c r="O79" s="128">
        <f>SUM(R79:AE79)</f>
        <v>0</v>
      </c>
      <c r="P79" s="153">
        <f>Tabela17812[[#This Row],[SETS]]*Tabela17812[[#This Row],[Number of pcs]]</f>
        <v>0</v>
      </c>
      <c r="Q79" s="328">
        <f t="shared" si="4"/>
        <v>0</v>
      </c>
      <c r="R79" s="482"/>
      <c r="S79" s="486"/>
      <c r="T79" s="466"/>
      <c r="U79" s="435"/>
      <c r="V79" s="467"/>
      <c r="W79" s="468"/>
      <c r="X79" s="436"/>
      <c r="Y79" s="470"/>
      <c r="Z79" s="469"/>
      <c r="AA79" s="449"/>
      <c r="AB79" s="437"/>
      <c r="AC79" s="438"/>
      <c r="AD79" s="439"/>
      <c r="AE79" s="440"/>
      <c r="AF79" s="30"/>
    </row>
    <row r="80" spans="2:32" ht="12" thickBot="1" x14ac:dyDescent="0.25">
      <c r="B80" s="327" t="s">
        <v>1778</v>
      </c>
      <c r="C80" s="204" t="s">
        <v>1792</v>
      </c>
      <c r="D80" s="216">
        <v>2</v>
      </c>
      <c r="E80" s="48" t="s">
        <v>1416</v>
      </c>
      <c r="F80" s="47">
        <v>3.5</v>
      </c>
      <c r="G80" s="224">
        <v>128</v>
      </c>
      <c r="H80" s="49">
        <f>ROUNDUP(Tabela17812[[#This Row],[OLD PRICE]]*(1+PRICES!$C$6),0)</f>
        <v>154</v>
      </c>
      <c r="I80" s="49"/>
      <c r="J80" s="49">
        <f>Tabela17812[[#This Row],[OLD PRICE]]*Tabela17812[[#This Row],[DISCOUNT per piece '[%']]]</f>
        <v>0</v>
      </c>
      <c r="K80" s="49">
        <f>Tabela17812[[#This Row],[OLD PRICE]]*(1-Tabela17812[[#This Row],[DISCOUNT per piece '[%']]])</f>
        <v>128</v>
      </c>
      <c r="L80" s="49">
        <f>Tabela17812[[#This Row],[SETS]]*Tabela17812[[#This Row],[PROMOTIONAL PRICE]]</f>
        <v>0</v>
      </c>
      <c r="M80" s="507" cm="1">
        <f t="array" ref="M80">ROUNDUP(Tabela17812[[#This Row],[NEW PRICE]]*eurofxref_daily[],2)</f>
        <v>247.76</v>
      </c>
      <c r="N80" s="506">
        <f>Tabela17812[[#This Row],[CAD PRICE]]*O80</f>
        <v>0</v>
      </c>
      <c r="O80" s="128">
        <f>SUM(R80:AE80)</f>
        <v>0</v>
      </c>
      <c r="P80" s="326">
        <f>Tabela17812[[#This Row],[SETS]]*Tabela17812[[#This Row],[Number of pcs]]</f>
        <v>0</v>
      </c>
      <c r="Q80" s="328">
        <f t="shared" si="4"/>
        <v>0</v>
      </c>
      <c r="R80" s="482"/>
      <c r="S80" s="486"/>
      <c r="T80" s="466"/>
      <c r="U80" s="435"/>
      <c r="V80" s="467"/>
      <c r="W80" s="468"/>
      <c r="X80" s="436"/>
      <c r="Y80" s="470"/>
      <c r="Z80" s="469"/>
      <c r="AA80" s="449"/>
      <c r="AB80" s="437"/>
      <c r="AC80" s="438"/>
      <c r="AD80" s="439"/>
      <c r="AE80" s="440"/>
      <c r="AF80" s="30"/>
    </row>
    <row r="81" spans="2:32" ht="12" thickBot="1" x14ac:dyDescent="0.25">
      <c r="B81" s="327" t="s">
        <v>1779</v>
      </c>
      <c r="C81" s="204" t="s">
        <v>1793</v>
      </c>
      <c r="D81" s="216">
        <v>1</v>
      </c>
      <c r="E81" s="48" t="s">
        <v>1409</v>
      </c>
      <c r="F81" s="47">
        <v>3.5</v>
      </c>
      <c r="G81" s="224">
        <v>101</v>
      </c>
      <c r="H81" s="49">
        <f>ROUNDUP(Tabela17812[[#This Row],[OLD PRICE]]*(1+PRICES!$C$6),0)</f>
        <v>122</v>
      </c>
      <c r="I81" s="49"/>
      <c r="J81" s="49">
        <f>Tabela17812[[#This Row],[OLD PRICE]]*Tabela17812[[#This Row],[DISCOUNT per piece '[%']]]</f>
        <v>0</v>
      </c>
      <c r="K81" s="49">
        <f>Tabela17812[[#This Row],[OLD PRICE]]*(1-Tabela17812[[#This Row],[DISCOUNT per piece '[%']]])</f>
        <v>101</v>
      </c>
      <c r="L81" s="49">
        <f>Tabela17812[[#This Row],[SETS]]*Tabela17812[[#This Row],[PROMOTIONAL PRICE]]</f>
        <v>0</v>
      </c>
      <c r="M81" s="507" cm="1">
        <f t="array" ref="M81">ROUNDUP(Tabela17812[[#This Row],[NEW PRICE]]*eurofxref_daily[],2)</f>
        <v>196.28</v>
      </c>
      <c r="N81" s="506">
        <f>Tabela17812[[#This Row],[CAD PRICE]]*O81</f>
        <v>0</v>
      </c>
      <c r="O81" s="128">
        <f>SUM(R81:AE81)</f>
        <v>0</v>
      </c>
      <c r="P81" s="326">
        <f>Tabela17812[[#This Row],[SETS]]*Tabela17812[[#This Row],[Number of pcs]]</f>
        <v>0</v>
      </c>
      <c r="Q81" s="328">
        <f t="shared" si="4"/>
        <v>0</v>
      </c>
      <c r="R81" s="482"/>
      <c r="S81" s="486"/>
      <c r="T81" s="466"/>
      <c r="U81" s="435"/>
      <c r="V81" s="467"/>
      <c r="W81" s="468"/>
      <c r="X81" s="436"/>
      <c r="Y81" s="470"/>
      <c r="Z81" s="469"/>
      <c r="AA81" s="449"/>
      <c r="AB81" s="437"/>
      <c r="AC81" s="438"/>
      <c r="AD81" s="439"/>
      <c r="AE81" s="440"/>
      <c r="AF81" s="30"/>
    </row>
    <row r="82" spans="2:32" ht="12" thickBot="1" x14ac:dyDescent="0.25">
      <c r="B82" s="327" t="s">
        <v>1780</v>
      </c>
      <c r="C82" s="204" t="s">
        <v>1794</v>
      </c>
      <c r="D82" s="216">
        <v>1</v>
      </c>
      <c r="E82" s="48" t="s">
        <v>1409</v>
      </c>
      <c r="F82" s="47">
        <v>4</v>
      </c>
      <c r="G82" s="224">
        <v>114</v>
      </c>
      <c r="H82" s="49">
        <f>ROUNDUP(Tabela17812[[#This Row],[OLD PRICE]]*(1+PRICES!$C$6),0)</f>
        <v>137</v>
      </c>
      <c r="I82" s="49"/>
      <c r="J82" s="49">
        <f>Tabela17812[[#This Row],[OLD PRICE]]*Tabela17812[[#This Row],[DISCOUNT per piece '[%']]]</f>
        <v>0</v>
      </c>
      <c r="K82" s="49">
        <f>Tabela17812[[#This Row],[OLD PRICE]]*(1-Tabela17812[[#This Row],[DISCOUNT per piece '[%']]])</f>
        <v>114</v>
      </c>
      <c r="L82" s="49">
        <f>Tabela17812[[#This Row],[SETS]]*Tabela17812[[#This Row],[PROMOTIONAL PRICE]]</f>
        <v>0</v>
      </c>
      <c r="M82" s="507" cm="1">
        <f t="array" ref="M82">ROUNDUP(Tabela17812[[#This Row],[NEW PRICE]]*eurofxref_daily[],2)</f>
        <v>220.41</v>
      </c>
      <c r="N82" s="506">
        <f>Tabela17812[[#This Row],[CAD PRICE]]*O82</f>
        <v>0</v>
      </c>
      <c r="O82" s="128">
        <f t="shared" ref="O82:O100" si="5">SUM(R82:AE82)</f>
        <v>0</v>
      </c>
      <c r="P82" s="326">
        <f>Tabela17812[[#This Row],[SETS]]*Tabela17812[[#This Row],[Number of pcs]]</f>
        <v>0</v>
      </c>
      <c r="Q82" s="328">
        <f t="shared" si="4"/>
        <v>0</v>
      </c>
      <c r="R82" s="482"/>
      <c r="S82" s="486"/>
      <c r="T82" s="466"/>
      <c r="U82" s="435"/>
      <c r="V82" s="467"/>
      <c r="W82" s="468"/>
      <c r="X82" s="436"/>
      <c r="Y82" s="470"/>
      <c r="Z82" s="469"/>
      <c r="AA82" s="449"/>
      <c r="AB82" s="437"/>
      <c r="AC82" s="438"/>
      <c r="AD82" s="439"/>
      <c r="AE82" s="440"/>
      <c r="AF82" s="30"/>
    </row>
    <row r="83" spans="2:32" ht="12" thickBot="1" x14ac:dyDescent="0.25">
      <c r="B83" s="359" t="s">
        <v>1903</v>
      </c>
      <c r="C83" s="360"/>
      <c r="D83" s="361"/>
      <c r="E83" s="362"/>
      <c r="F83" s="363"/>
      <c r="G83" s="364"/>
      <c r="H83" s="362"/>
      <c r="I83" s="364"/>
      <c r="J83" s="364">
        <f>Tabela17812[[#This Row],[OLD PRICE]]*Tabela17812[[#This Row],[DISCOUNT per piece '[%']]]</f>
        <v>0</v>
      </c>
      <c r="K83" s="364">
        <f>Tabela17812[[#This Row],[OLD PRICE]]*(1-Tabela17812[[#This Row],[DISCOUNT per piece '[%']]])</f>
        <v>0</v>
      </c>
      <c r="L83" s="364">
        <f>Tabela17812[[#This Row],[SETS]]*Tabela17812[[#This Row],[PROMOTIONAL PRICE]]</f>
        <v>0</v>
      </c>
      <c r="M83" s="362"/>
      <c r="N83" s="362"/>
      <c r="O83" s="366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457"/>
      <c r="AA83" s="454"/>
      <c r="AB83" s="353"/>
      <c r="AC83" s="353"/>
      <c r="AD83" s="353"/>
      <c r="AE83" s="353"/>
      <c r="AF83" s="30"/>
    </row>
    <row r="84" spans="2:32" ht="12" thickBot="1" x14ac:dyDescent="0.25">
      <c r="B84" s="369" t="s">
        <v>1959</v>
      </c>
      <c r="C84" s="370" t="s">
        <v>1960</v>
      </c>
      <c r="D84" s="371">
        <v>5</v>
      </c>
      <c r="E84" s="372" t="s">
        <v>1444</v>
      </c>
      <c r="F84" s="47">
        <v>0.53</v>
      </c>
      <c r="G84" s="49">
        <v>35</v>
      </c>
      <c r="H84" s="49">
        <f>ROUNDUP(Tabela17812[[#This Row],[OLD PRICE]]*(1+PRICES!$C$6),0)</f>
        <v>42</v>
      </c>
      <c r="I84" s="373"/>
      <c r="J84" s="373">
        <f>Tabela17812[[#This Row],[OLD PRICE]]*Tabela17812[[#This Row],[DISCOUNT per piece '[%']]]</f>
        <v>0</v>
      </c>
      <c r="K84" s="373">
        <f>Tabela17812[[#This Row],[OLD PRICE]]*(1-Tabela17812[[#This Row],[DISCOUNT per piece '[%']]])</f>
        <v>35</v>
      </c>
      <c r="L84" s="373">
        <f>Tabela17812[[#This Row],[SETS]]*Tabela17812[[#This Row],[PROMOTIONAL PRICE]]</f>
        <v>0</v>
      </c>
      <c r="M84" s="507" cm="1">
        <f t="array" ref="M84">ROUNDUP(Tabela17812[[#This Row],[NEW PRICE]]*eurofxref_daily[],2)</f>
        <v>67.570000000000007</v>
      </c>
      <c r="N84" s="506">
        <f>Tabela17812[[#This Row],[CAD PRICE]]*O84</f>
        <v>0</v>
      </c>
      <c r="O84" s="128">
        <f>SUM(R84:AA84)</f>
        <v>0</v>
      </c>
      <c r="P84" s="153">
        <f>Tabela17812[[#This Row],[SETS]]*Tabela17812[[#This Row],[Number of pcs]]</f>
        <v>0</v>
      </c>
      <c r="Q84" s="128">
        <f>O84*F84</f>
        <v>0</v>
      </c>
      <c r="R84" s="482"/>
      <c r="S84" s="486"/>
      <c r="T84" s="466"/>
      <c r="U84" s="435"/>
      <c r="V84" s="467"/>
      <c r="W84" s="468"/>
      <c r="X84" s="436"/>
      <c r="Y84" s="470"/>
      <c r="Z84" s="469"/>
      <c r="AA84" s="449"/>
      <c r="AB84" s="437"/>
      <c r="AC84" s="438"/>
      <c r="AD84" s="439"/>
      <c r="AE84" s="440"/>
      <c r="AF84" s="30"/>
    </row>
    <row r="85" spans="2:32" ht="12" thickBot="1" x14ac:dyDescent="0.25">
      <c r="B85" s="354" t="s">
        <v>1917</v>
      </c>
      <c r="C85" s="204" t="s">
        <v>1904</v>
      </c>
      <c r="D85" s="207">
        <v>5</v>
      </c>
      <c r="E85" s="48" t="s">
        <v>1444</v>
      </c>
      <c r="F85" s="47">
        <v>2.1</v>
      </c>
      <c r="G85" s="224">
        <v>119</v>
      </c>
      <c r="H85" s="49">
        <f>ROUNDUP(Tabela17812[[#This Row],[OLD PRICE]]*(1+PRICES!$C$6),0)</f>
        <v>143</v>
      </c>
      <c r="I85" s="49">
        <v>0.15</v>
      </c>
      <c r="J85" s="49" t="e">
        <v>#REF!</v>
      </c>
      <c r="K85" s="49" t="e">
        <v>#REF!</v>
      </c>
      <c r="L85" s="49" t="e">
        <v>#REF!</v>
      </c>
      <c r="M85" s="507" cm="1">
        <f t="array" ref="M85">ROUNDUP(Tabela17812[[#This Row],[NEW PRICE]]*eurofxref_daily[],2)</f>
        <v>230.06</v>
      </c>
      <c r="N85" s="506">
        <f>Tabela17812[[#This Row],[CAD PRICE]]*O85</f>
        <v>0</v>
      </c>
      <c r="O85" s="128">
        <f t="shared" si="5"/>
        <v>0</v>
      </c>
      <c r="P85" s="326">
        <f>Tabela17812[[#This Row],[SETS]]*Tabela17812[[#This Row],[Number of pcs]]</f>
        <v>0</v>
      </c>
      <c r="Q85" s="328">
        <f t="shared" si="4"/>
        <v>0</v>
      </c>
      <c r="R85" s="482"/>
      <c r="S85" s="486"/>
      <c r="T85" s="466"/>
      <c r="U85" s="435"/>
      <c r="V85" s="467"/>
      <c r="W85" s="468"/>
      <c r="X85" s="436"/>
      <c r="Y85" s="470"/>
      <c r="Z85" s="469"/>
      <c r="AA85" s="449"/>
      <c r="AB85" s="437"/>
      <c r="AC85" s="438"/>
      <c r="AD85" s="439"/>
      <c r="AE85" s="440"/>
      <c r="AF85" s="30"/>
    </row>
    <row r="86" spans="2:32" ht="12" thickBot="1" x14ac:dyDescent="0.25">
      <c r="B86" s="354" t="s">
        <v>1918</v>
      </c>
      <c r="C86" s="204" t="s">
        <v>1905</v>
      </c>
      <c r="D86" s="207">
        <v>3</v>
      </c>
      <c r="E86" s="48" t="s">
        <v>660</v>
      </c>
      <c r="F86" s="47">
        <v>2.23</v>
      </c>
      <c r="G86" s="224">
        <v>84</v>
      </c>
      <c r="H86" s="49">
        <f>ROUNDUP(Tabela17812[[#This Row],[OLD PRICE]]*(1+PRICES!$C$6),0)</f>
        <v>101</v>
      </c>
      <c r="I86" s="49">
        <v>0.15</v>
      </c>
      <c r="J86" s="49" t="e">
        <v>#REF!</v>
      </c>
      <c r="K86" s="49" t="e">
        <v>#REF!</v>
      </c>
      <c r="L86" s="49" t="e">
        <v>#REF!</v>
      </c>
      <c r="M86" s="507" cm="1">
        <f t="array" ref="M86">ROUNDUP(Tabela17812[[#This Row],[NEW PRICE]]*eurofxref_daily[],2)</f>
        <v>162.48999999999998</v>
      </c>
      <c r="N86" s="506">
        <f>Tabela17812[[#This Row],[CAD PRICE]]*O86</f>
        <v>0</v>
      </c>
      <c r="O86" s="128">
        <f t="shared" si="5"/>
        <v>0</v>
      </c>
      <c r="P86" s="326">
        <f>Tabela17812[[#This Row],[SETS]]*Tabela17812[[#This Row],[Number of pcs]]</f>
        <v>0</v>
      </c>
      <c r="Q86" s="328">
        <f t="shared" si="4"/>
        <v>0</v>
      </c>
      <c r="R86" s="482"/>
      <c r="S86" s="486"/>
      <c r="T86" s="466"/>
      <c r="U86" s="435"/>
      <c r="V86" s="467"/>
      <c r="W86" s="468"/>
      <c r="X86" s="436"/>
      <c r="Y86" s="470"/>
      <c r="Z86" s="469"/>
      <c r="AA86" s="449"/>
      <c r="AB86" s="437"/>
      <c r="AC86" s="438"/>
      <c r="AD86" s="439"/>
      <c r="AE86" s="440"/>
      <c r="AF86" s="30"/>
    </row>
    <row r="87" spans="2:32" ht="12" thickBot="1" x14ac:dyDescent="0.25">
      <c r="B87" s="354" t="s">
        <v>1919</v>
      </c>
      <c r="C87" s="204" t="s">
        <v>1906</v>
      </c>
      <c r="D87" s="207">
        <v>3</v>
      </c>
      <c r="E87" s="48" t="s">
        <v>660</v>
      </c>
      <c r="F87" s="47">
        <v>1.83</v>
      </c>
      <c r="G87" s="224">
        <v>88</v>
      </c>
      <c r="H87" s="49">
        <f>ROUNDUP(Tabela17812[[#This Row],[OLD PRICE]]*(1+PRICES!$C$6),0)</f>
        <v>106</v>
      </c>
      <c r="I87" s="49">
        <v>0.15</v>
      </c>
      <c r="J87" s="49" t="e">
        <v>#REF!</v>
      </c>
      <c r="K87" s="49" t="e">
        <v>#REF!</v>
      </c>
      <c r="L87" s="49" t="e">
        <v>#REF!</v>
      </c>
      <c r="M87" s="507" cm="1">
        <f t="array" ref="M87">ROUNDUP(Tabela17812[[#This Row],[NEW PRICE]]*eurofxref_daily[],2)</f>
        <v>170.54</v>
      </c>
      <c r="N87" s="506">
        <f>Tabela17812[[#This Row],[CAD PRICE]]*O87</f>
        <v>0</v>
      </c>
      <c r="O87" s="128">
        <f t="shared" si="5"/>
        <v>0</v>
      </c>
      <c r="P87" s="326">
        <f>Tabela17812[[#This Row],[SETS]]*Tabela17812[[#This Row],[Number of pcs]]</f>
        <v>0</v>
      </c>
      <c r="Q87" s="328">
        <f t="shared" si="4"/>
        <v>0</v>
      </c>
      <c r="R87" s="482"/>
      <c r="S87" s="486"/>
      <c r="T87" s="466"/>
      <c r="U87" s="435"/>
      <c r="V87" s="467"/>
      <c r="W87" s="468"/>
      <c r="X87" s="436"/>
      <c r="Y87" s="470"/>
      <c r="Z87" s="469"/>
      <c r="AA87" s="449"/>
      <c r="AB87" s="437"/>
      <c r="AC87" s="438"/>
      <c r="AD87" s="439"/>
      <c r="AE87" s="440"/>
      <c r="AF87" s="30"/>
    </row>
    <row r="88" spans="2:32" ht="12" thickBot="1" x14ac:dyDescent="0.25">
      <c r="B88" s="354" t="s">
        <v>1920</v>
      </c>
      <c r="C88" s="204" t="s">
        <v>1907</v>
      </c>
      <c r="D88" s="207">
        <v>3</v>
      </c>
      <c r="E88" s="48" t="s">
        <v>660</v>
      </c>
      <c r="F88" s="47">
        <v>3</v>
      </c>
      <c r="G88" s="224">
        <v>128</v>
      </c>
      <c r="H88" s="49">
        <f>ROUNDUP(Tabela17812[[#This Row],[OLD PRICE]]*(1+PRICES!$C$6),0)</f>
        <v>154</v>
      </c>
      <c r="I88" s="49">
        <v>0.15</v>
      </c>
      <c r="J88" s="49" t="e">
        <v>#REF!</v>
      </c>
      <c r="K88" s="49" t="e">
        <v>#REF!</v>
      </c>
      <c r="L88" s="49" t="e">
        <v>#REF!</v>
      </c>
      <c r="M88" s="507" cm="1">
        <f t="array" ref="M88">ROUNDUP(Tabela17812[[#This Row],[NEW PRICE]]*eurofxref_daily[],2)</f>
        <v>247.76</v>
      </c>
      <c r="N88" s="506">
        <f>Tabela17812[[#This Row],[CAD PRICE]]*O88</f>
        <v>0</v>
      </c>
      <c r="O88" s="128">
        <f t="shared" si="5"/>
        <v>0</v>
      </c>
      <c r="P88" s="326">
        <f>Tabela17812[[#This Row],[SETS]]*Tabela17812[[#This Row],[Number of pcs]]</f>
        <v>0</v>
      </c>
      <c r="Q88" s="328">
        <f t="shared" si="4"/>
        <v>0</v>
      </c>
      <c r="R88" s="482"/>
      <c r="S88" s="486"/>
      <c r="T88" s="466"/>
      <c r="U88" s="435"/>
      <c r="V88" s="467"/>
      <c r="W88" s="468"/>
      <c r="X88" s="436"/>
      <c r="Y88" s="470"/>
      <c r="Z88" s="469"/>
      <c r="AA88" s="449"/>
      <c r="AB88" s="437"/>
      <c r="AC88" s="438"/>
      <c r="AD88" s="439"/>
      <c r="AE88" s="440"/>
      <c r="AF88" s="30"/>
    </row>
    <row r="89" spans="2:32" ht="12" thickBot="1" x14ac:dyDescent="0.25">
      <c r="B89" s="377" t="s">
        <v>1921</v>
      </c>
      <c r="C89" s="378" t="s">
        <v>1908</v>
      </c>
      <c r="D89" s="379">
        <v>3</v>
      </c>
      <c r="E89" s="380" t="s">
        <v>660</v>
      </c>
      <c r="F89" s="381">
        <v>3.39</v>
      </c>
      <c r="G89" s="382">
        <v>118</v>
      </c>
      <c r="H89" s="49">
        <f>ROUNDUP(Tabela17812[[#This Row],[OLD PRICE]]*(1+PRICES!$C$6),0)</f>
        <v>142</v>
      </c>
      <c r="I89" s="49">
        <v>0.15</v>
      </c>
      <c r="J89" s="49" t="e">
        <v>#REF!</v>
      </c>
      <c r="K89" s="49" t="e">
        <v>#REF!</v>
      </c>
      <c r="L89" s="49" t="e">
        <v>#REF!</v>
      </c>
      <c r="M89" s="507" cm="1">
        <f t="array" ref="M89">ROUNDUP(Tabela17812[[#This Row],[NEW PRICE]]*eurofxref_daily[],2)</f>
        <v>228.45</v>
      </c>
      <c r="N89" s="506">
        <f>Tabela17812[[#This Row],[CAD PRICE]]*O89</f>
        <v>0</v>
      </c>
      <c r="O89" s="128">
        <f t="shared" si="5"/>
        <v>0</v>
      </c>
      <c r="P89" s="383">
        <f>Tabela17812[[#This Row],[SETS]]*Tabela17812[[#This Row],[Number of pcs]]</f>
        <v>0</v>
      </c>
      <c r="Q89" s="328">
        <f t="shared" si="4"/>
        <v>0</v>
      </c>
      <c r="R89" s="482"/>
      <c r="S89" s="486"/>
      <c r="T89" s="466"/>
      <c r="U89" s="435"/>
      <c r="V89" s="467"/>
      <c r="W89" s="468"/>
      <c r="X89" s="436"/>
      <c r="Y89" s="470"/>
      <c r="Z89" s="469"/>
      <c r="AA89" s="449"/>
      <c r="AB89" s="437"/>
      <c r="AC89" s="438"/>
      <c r="AD89" s="439"/>
      <c r="AE89" s="440"/>
      <c r="AF89" s="30"/>
    </row>
    <row r="90" spans="2:32" ht="12" hidden="1" thickBot="1" x14ac:dyDescent="0.25">
      <c r="B90" s="354" t="s">
        <v>1922</v>
      </c>
      <c r="C90" s="204" t="s">
        <v>1909</v>
      </c>
      <c r="D90" s="207">
        <v>2</v>
      </c>
      <c r="E90" s="48" t="s">
        <v>1421</v>
      </c>
      <c r="F90" s="47">
        <v>1.8</v>
      </c>
      <c r="G90" s="224">
        <v>131.92760000000001</v>
      </c>
      <c r="H90" s="49">
        <f>ROUNDUP(Tabela17812[[#This Row],[OLD PRICE]]*(1+PRICES!$C$6),0)</f>
        <v>159</v>
      </c>
      <c r="I90" s="49">
        <v>0.15</v>
      </c>
      <c r="J90" s="49" t="e">
        <v>#REF!</v>
      </c>
      <c r="K90" s="49" t="e">
        <v>#REF!</v>
      </c>
      <c r="L90" s="49" t="e">
        <v>#REF!</v>
      </c>
      <c r="M90" s="507" cm="1">
        <f t="array" ref="M90">ROUNDUP(Tabela17812[[#This Row],[NEW PRICE]]*eurofxref_daily[],2)</f>
        <v>255.79999999999998</v>
      </c>
      <c r="N90" s="506">
        <f>Tabela17812[[#This Row],[CAD PRICE]]*O90</f>
        <v>0</v>
      </c>
      <c r="O90" s="355">
        <f t="shared" si="5"/>
        <v>0</v>
      </c>
      <c r="P90" s="326">
        <f>Tabela17812[[#This Row],[SETS]]*Tabela17812[[#This Row],[Number of pcs]]</f>
        <v>0</v>
      </c>
      <c r="Q90" s="328">
        <f t="shared" si="4"/>
        <v>0</v>
      </c>
      <c r="R90" s="482"/>
      <c r="S90" s="486"/>
      <c r="T90" s="466"/>
      <c r="U90" s="435"/>
      <c r="V90" s="467"/>
      <c r="W90" s="468"/>
      <c r="X90" s="436"/>
      <c r="Y90" s="470"/>
      <c r="Z90" s="469"/>
      <c r="AA90" s="449"/>
      <c r="AB90" s="437"/>
      <c r="AC90" s="438"/>
      <c r="AD90" s="439"/>
      <c r="AE90" s="440"/>
      <c r="AF90" s="30"/>
    </row>
    <row r="91" spans="2:32" ht="12" thickBot="1" x14ac:dyDescent="0.25">
      <c r="B91" s="354" t="s">
        <v>1922</v>
      </c>
      <c r="C91" s="204" t="s">
        <v>1909</v>
      </c>
      <c r="D91" s="207">
        <v>2</v>
      </c>
      <c r="E91" s="48" t="s">
        <v>1421</v>
      </c>
      <c r="F91" s="47">
        <v>1.8</v>
      </c>
      <c r="G91" s="49">
        <v>132</v>
      </c>
      <c r="H91" s="49">
        <f>ROUNDUP(Tabela17812[[#This Row],[OLD PRICE]]*(1+PRICES!$C$6),0)</f>
        <v>159</v>
      </c>
      <c r="I91" s="49"/>
      <c r="J91" s="49">
        <f>Tabela17812[[#This Row],[OLD PRICE]]*Tabela17812[[#This Row],[DISCOUNT per piece '[%']]]</f>
        <v>0</v>
      </c>
      <c r="K91" s="49">
        <f>Tabela17812[[#This Row],[OLD PRICE]]*(1-Tabela17812[[#This Row],[DISCOUNT per piece '[%']]])</f>
        <v>132</v>
      </c>
      <c r="L91" s="49">
        <f>Tabela17812[[#This Row],[SETS]]*Tabela17812[[#This Row],[PROMOTIONAL PRICE]]</f>
        <v>0</v>
      </c>
      <c r="M91" s="507" cm="1">
        <f t="array" ref="M91">ROUNDUP(Tabela17812[[#This Row],[NEW PRICE]]*eurofxref_daily[],2)</f>
        <v>255.79999999999998</v>
      </c>
      <c r="N91" s="506">
        <f>Tabela17812[[#This Row],[CAD PRICE]]*O91</f>
        <v>0</v>
      </c>
      <c r="O91" s="128">
        <f>SUM(R91:AA91)</f>
        <v>0</v>
      </c>
      <c r="P91" s="153">
        <f>Tabela17812[[#This Row],[SETS]]*Tabela17812[[#This Row],[Number of pcs]]</f>
        <v>0</v>
      </c>
      <c r="Q91" s="128">
        <f>O91*F91</f>
        <v>0</v>
      </c>
      <c r="R91" s="482"/>
      <c r="S91" s="486"/>
      <c r="T91" s="466"/>
      <c r="U91" s="435"/>
      <c r="V91" s="467"/>
      <c r="W91" s="468"/>
      <c r="X91" s="436"/>
      <c r="Y91" s="470"/>
      <c r="Z91" s="469"/>
      <c r="AA91" s="449"/>
      <c r="AB91" s="437"/>
      <c r="AC91" s="438"/>
      <c r="AD91" s="439"/>
      <c r="AE91" s="440"/>
      <c r="AF91" s="30"/>
    </row>
    <row r="92" spans="2:32" ht="12" thickBot="1" x14ac:dyDescent="0.25">
      <c r="B92" s="375" t="s">
        <v>1923</v>
      </c>
      <c r="C92" s="241" t="s">
        <v>1910</v>
      </c>
      <c r="D92" s="384">
        <v>2</v>
      </c>
      <c r="E92" s="191" t="s">
        <v>1421</v>
      </c>
      <c r="F92" s="190">
        <v>2.46</v>
      </c>
      <c r="G92" s="376">
        <v>115</v>
      </c>
      <c r="H92" s="49">
        <f>ROUNDUP(Tabela17812[[#This Row],[OLD PRICE]]*(1+PRICES!$C$6),0)</f>
        <v>138</v>
      </c>
      <c r="I92" s="49">
        <v>0.15</v>
      </c>
      <c r="J92" s="49" t="e">
        <v>#REF!</v>
      </c>
      <c r="K92" s="49" t="e">
        <v>#REF!</v>
      </c>
      <c r="L92" s="49" t="e">
        <v>#REF!</v>
      </c>
      <c r="M92" s="507" cm="1">
        <f t="array" ref="M92">ROUNDUP(Tabela17812[[#This Row],[NEW PRICE]]*eurofxref_daily[],2)</f>
        <v>222.01999999999998</v>
      </c>
      <c r="N92" s="506">
        <f>Tabela17812[[#This Row],[CAD PRICE]]*O92</f>
        <v>0</v>
      </c>
      <c r="O92" s="128">
        <f t="shared" si="5"/>
        <v>0</v>
      </c>
      <c r="P92" s="383">
        <f>Tabela17812[[#This Row],[SETS]]*Tabela17812[[#This Row],[Number of pcs]]</f>
        <v>0</v>
      </c>
      <c r="Q92" s="328">
        <f>O92*F92</f>
        <v>0</v>
      </c>
      <c r="R92" s="482"/>
      <c r="S92" s="486"/>
      <c r="T92" s="466"/>
      <c r="U92" s="435"/>
      <c r="V92" s="467"/>
      <c r="W92" s="468"/>
      <c r="X92" s="436"/>
      <c r="Y92" s="470"/>
      <c r="Z92" s="469"/>
      <c r="AA92" s="449"/>
      <c r="AB92" s="437"/>
      <c r="AC92" s="438"/>
      <c r="AD92" s="439"/>
      <c r="AE92" s="440"/>
      <c r="AF92" s="30"/>
    </row>
    <row r="93" spans="2:32" ht="12" hidden="1" thickBot="1" x14ac:dyDescent="0.25">
      <c r="B93" s="354" t="s">
        <v>1924</v>
      </c>
      <c r="C93" s="204" t="s">
        <v>1911</v>
      </c>
      <c r="D93" s="207">
        <v>2</v>
      </c>
      <c r="E93" s="48" t="s">
        <v>1421</v>
      </c>
      <c r="F93" s="47">
        <v>2.4500000000000002</v>
      </c>
      <c r="G93" s="224">
        <v>154.81300000000002</v>
      </c>
      <c r="H93" s="49">
        <f>ROUNDUP(Tabela17812[[#This Row],[OLD PRICE]]*(1+PRICES!$C$6),0)</f>
        <v>186</v>
      </c>
      <c r="I93" s="49">
        <v>0.15</v>
      </c>
      <c r="J93" s="49" t="e">
        <v>#REF!</v>
      </c>
      <c r="K93" s="49" t="e">
        <v>#REF!</v>
      </c>
      <c r="L93" s="49" t="e">
        <v>#REF!</v>
      </c>
      <c r="M93" s="507" cm="1">
        <f t="array" ref="M93">ROUNDUP(Tabela17812[[#This Row],[NEW PRICE]]*eurofxref_daily[],2)</f>
        <v>299.24</v>
      </c>
      <c r="N93" s="506">
        <f>Tabela17812[[#This Row],[CAD PRICE]]*O93</f>
        <v>0</v>
      </c>
      <c r="O93" s="128">
        <f t="shared" si="5"/>
        <v>0</v>
      </c>
      <c r="P93" s="326">
        <f>Tabela17812[[#This Row],[SETS]]*Tabela17812[[#This Row],[Number of pcs]]</f>
        <v>0</v>
      </c>
      <c r="Q93" s="328">
        <f t="shared" si="4"/>
        <v>0</v>
      </c>
      <c r="R93" s="482"/>
      <c r="S93" s="486"/>
      <c r="T93" s="466"/>
      <c r="U93" s="435"/>
      <c r="V93" s="467"/>
      <c r="W93" s="468"/>
      <c r="X93" s="436"/>
      <c r="Y93" s="470"/>
      <c r="Z93" s="469"/>
      <c r="AA93" s="449"/>
      <c r="AB93" s="437"/>
      <c r="AC93" s="438"/>
      <c r="AD93" s="439"/>
      <c r="AE93" s="440"/>
      <c r="AF93" s="30"/>
    </row>
    <row r="94" spans="2:32" ht="12" thickBot="1" x14ac:dyDescent="0.25">
      <c r="B94" s="354" t="s">
        <v>1924</v>
      </c>
      <c r="C94" s="204" t="s">
        <v>1911</v>
      </c>
      <c r="D94" s="207">
        <v>2</v>
      </c>
      <c r="E94" s="48" t="s">
        <v>1421</v>
      </c>
      <c r="F94" s="47">
        <v>2.4500000000000002</v>
      </c>
      <c r="G94" s="49">
        <v>155</v>
      </c>
      <c r="H94" s="49">
        <f>ROUNDUP(Tabela17812[[#This Row],[OLD PRICE]]*(1+PRICES!$C$6),0)</f>
        <v>186</v>
      </c>
      <c r="I94" s="49"/>
      <c r="J94" s="49">
        <f>Tabela17812[[#This Row],[OLD PRICE]]*Tabela17812[[#This Row],[DISCOUNT per piece '[%']]]</f>
        <v>0</v>
      </c>
      <c r="K94" s="49">
        <f>Tabela17812[[#This Row],[OLD PRICE]]*(1-Tabela17812[[#This Row],[DISCOUNT per piece '[%']]])</f>
        <v>155</v>
      </c>
      <c r="L94" s="49">
        <f>Tabela17812[[#This Row],[SETS]]*Tabela17812[[#This Row],[PROMOTIONAL PRICE]]</f>
        <v>0</v>
      </c>
      <c r="M94" s="507" cm="1">
        <f t="array" ref="M94">ROUNDUP(Tabela17812[[#This Row],[NEW PRICE]]*eurofxref_daily[],2)</f>
        <v>299.24</v>
      </c>
      <c r="N94" s="506">
        <f>Tabela17812[[#This Row],[CAD PRICE]]*O94</f>
        <v>0</v>
      </c>
      <c r="O94" s="128">
        <f>SUM(R94:AA94)</f>
        <v>0</v>
      </c>
      <c r="P94" s="153">
        <f>Tabela17812[[#This Row],[SETS]]*Tabela17812[[#This Row],[Number of pcs]]</f>
        <v>0</v>
      </c>
      <c r="Q94" s="128">
        <f>O94*F94</f>
        <v>0</v>
      </c>
      <c r="R94" s="482"/>
      <c r="S94" s="486"/>
      <c r="T94" s="466"/>
      <c r="U94" s="435"/>
      <c r="V94" s="467"/>
      <c r="W94" s="468"/>
      <c r="X94" s="436"/>
      <c r="Y94" s="470"/>
      <c r="Z94" s="469"/>
      <c r="AA94" s="449"/>
      <c r="AB94" s="437"/>
      <c r="AC94" s="438"/>
      <c r="AD94" s="439"/>
      <c r="AE94" s="440"/>
      <c r="AF94" s="30"/>
    </row>
    <row r="95" spans="2:32" ht="12" thickBot="1" x14ac:dyDescent="0.25">
      <c r="B95" s="375" t="s">
        <v>1925</v>
      </c>
      <c r="C95" s="241" t="s">
        <v>1912</v>
      </c>
      <c r="D95" s="384">
        <v>3</v>
      </c>
      <c r="E95" s="191" t="s">
        <v>1421</v>
      </c>
      <c r="F95" s="190">
        <v>2.16</v>
      </c>
      <c r="G95" s="376">
        <v>201</v>
      </c>
      <c r="H95" s="49">
        <f>ROUNDUP(Tabela17812[[#This Row],[OLD PRICE]]*(1+PRICES!$C$6),0)</f>
        <v>242</v>
      </c>
      <c r="I95" s="49">
        <v>0.15</v>
      </c>
      <c r="J95" s="49" t="e">
        <v>#REF!</v>
      </c>
      <c r="K95" s="49" t="e">
        <v>#REF!</v>
      </c>
      <c r="L95" s="49" t="e">
        <v>#REF!</v>
      </c>
      <c r="M95" s="507" cm="1">
        <f t="array" ref="M95">ROUNDUP(Tabela17812[[#This Row],[NEW PRICE]]*eurofxref_daily[],2)</f>
        <v>389.33</v>
      </c>
      <c r="N95" s="506">
        <f>Tabela17812[[#This Row],[CAD PRICE]]*O95</f>
        <v>0</v>
      </c>
      <c r="O95" s="128">
        <f t="shared" si="5"/>
        <v>0</v>
      </c>
      <c r="P95" s="383">
        <f>Tabela17812[[#This Row],[SETS]]*Tabela17812[[#This Row],[Number of pcs]]</f>
        <v>0</v>
      </c>
      <c r="Q95" s="328">
        <f t="shared" si="4"/>
        <v>0</v>
      </c>
      <c r="R95" s="482"/>
      <c r="S95" s="486"/>
      <c r="T95" s="466"/>
      <c r="U95" s="435"/>
      <c r="V95" s="467"/>
      <c r="W95" s="468"/>
      <c r="X95" s="436"/>
      <c r="Y95" s="470"/>
      <c r="Z95" s="469"/>
      <c r="AA95" s="449"/>
      <c r="AB95" s="437"/>
      <c r="AC95" s="438"/>
      <c r="AD95" s="439"/>
      <c r="AE95" s="440"/>
      <c r="AF95" s="30"/>
    </row>
    <row r="96" spans="2:32" ht="12" hidden="1" thickBot="1" x14ac:dyDescent="0.25">
      <c r="B96" s="354" t="s">
        <v>1926</v>
      </c>
      <c r="C96" s="204" t="s">
        <v>1913</v>
      </c>
      <c r="D96" s="216">
        <v>2</v>
      </c>
      <c r="E96" s="48" t="s">
        <v>1416</v>
      </c>
      <c r="F96" s="47"/>
      <c r="G96" s="224">
        <v>169.33500000000001</v>
      </c>
      <c r="H96" s="49">
        <f>ROUNDUP(Tabela17812[[#This Row],[OLD PRICE]]*(1+PRICES!$C$6),0)</f>
        <v>204</v>
      </c>
      <c r="I96" s="49"/>
      <c r="J96" s="49">
        <v>0</v>
      </c>
      <c r="K96" s="49">
        <v>159.75</v>
      </c>
      <c r="L96" s="49">
        <v>0</v>
      </c>
      <c r="M96" s="507" cm="1">
        <f t="array" ref="M96">ROUNDUP(Tabela17812[[#This Row],[NEW PRICE]]*eurofxref_daily[],2)</f>
        <v>328.2</v>
      </c>
      <c r="N96" s="506">
        <f>Tabela17812[[#This Row],[CAD PRICE]]*O96</f>
        <v>0</v>
      </c>
      <c r="O96" s="128">
        <f t="shared" si="5"/>
        <v>0</v>
      </c>
      <c r="P96" s="326">
        <f>Tabela17812[[#This Row],[SETS]]*Tabela17812[[#This Row],[Number of pcs]]</f>
        <v>0</v>
      </c>
      <c r="Q96" s="328">
        <f t="shared" si="4"/>
        <v>0</v>
      </c>
      <c r="R96" s="482"/>
      <c r="S96" s="486"/>
      <c r="T96" s="466"/>
      <c r="U96" s="435"/>
      <c r="V96" s="467"/>
      <c r="W96" s="468"/>
      <c r="X96" s="436"/>
      <c r="Y96" s="470"/>
      <c r="Z96" s="469"/>
      <c r="AA96" s="449"/>
      <c r="AB96" s="437"/>
      <c r="AC96" s="438"/>
      <c r="AD96" s="439"/>
      <c r="AE96" s="440"/>
      <c r="AF96" s="30"/>
    </row>
    <row r="97" spans="2:32" ht="12" thickBot="1" x14ac:dyDescent="0.25">
      <c r="B97" s="354" t="s">
        <v>1926</v>
      </c>
      <c r="C97" s="204" t="s">
        <v>1913</v>
      </c>
      <c r="D97" s="216">
        <v>2</v>
      </c>
      <c r="E97" s="48" t="s">
        <v>1416</v>
      </c>
      <c r="F97" s="47">
        <v>2.4</v>
      </c>
      <c r="G97" s="49">
        <v>170</v>
      </c>
      <c r="H97" s="49">
        <f>ROUNDUP(Tabela17812[[#This Row],[OLD PRICE]]*(1+PRICES!$C$6),0)</f>
        <v>204</v>
      </c>
      <c r="I97" s="49"/>
      <c r="J97" s="49">
        <f>Tabela17812[[#This Row],[OLD PRICE]]*Tabela17812[[#This Row],[DISCOUNT per piece '[%']]]</f>
        <v>0</v>
      </c>
      <c r="K97" s="49">
        <f>Tabela17812[[#This Row],[OLD PRICE]]*(1-Tabela17812[[#This Row],[DISCOUNT per piece '[%']]])</f>
        <v>170</v>
      </c>
      <c r="L97" s="49">
        <f>Tabela17812[[#This Row],[SETS]]*Tabela17812[[#This Row],[PROMOTIONAL PRICE]]</f>
        <v>0</v>
      </c>
      <c r="M97" s="507" cm="1">
        <f t="array" ref="M97">ROUNDUP(Tabela17812[[#This Row],[NEW PRICE]]*eurofxref_daily[],2)</f>
        <v>328.2</v>
      </c>
      <c r="N97" s="506">
        <f>Tabela17812[[#This Row],[CAD PRICE]]*O97</f>
        <v>0</v>
      </c>
      <c r="O97" s="128">
        <f>SUM(R97:AA97)</f>
        <v>0</v>
      </c>
      <c r="P97" s="153">
        <f>Tabela17812[[#This Row],[SETS]]*Tabela17812[[#This Row],[Number of pcs]]</f>
        <v>0</v>
      </c>
      <c r="Q97" s="128">
        <f>O97*F97</f>
        <v>0</v>
      </c>
      <c r="R97" s="482"/>
      <c r="S97" s="486"/>
      <c r="T97" s="466"/>
      <c r="U97" s="435"/>
      <c r="V97" s="467"/>
      <c r="W97" s="468"/>
      <c r="X97" s="436"/>
      <c r="Y97" s="470"/>
      <c r="Z97" s="469"/>
      <c r="AA97" s="449"/>
      <c r="AB97" s="437"/>
      <c r="AC97" s="438"/>
      <c r="AD97" s="439"/>
      <c r="AE97" s="440"/>
      <c r="AF97" s="30"/>
    </row>
    <row r="98" spans="2:32" ht="12" thickBot="1" x14ac:dyDescent="0.25">
      <c r="B98" s="354" t="s">
        <v>1927</v>
      </c>
      <c r="C98" s="204" t="s">
        <v>1914</v>
      </c>
      <c r="D98" s="216">
        <v>2</v>
      </c>
      <c r="E98" s="48" t="s">
        <v>1416</v>
      </c>
      <c r="F98" s="47">
        <v>2.8</v>
      </c>
      <c r="G98" s="224">
        <v>162</v>
      </c>
      <c r="H98" s="49">
        <f>ROUNDUP(Tabela17812[[#This Row],[OLD PRICE]]*(1+PRICES!$C$6),0)</f>
        <v>195</v>
      </c>
      <c r="I98" s="49"/>
      <c r="J98" s="49">
        <v>0</v>
      </c>
      <c r="K98" s="49">
        <v>152.4</v>
      </c>
      <c r="L98" s="49">
        <v>0</v>
      </c>
      <c r="M98" s="507" cm="1">
        <f t="array" ref="M98">ROUNDUP(Tabela17812[[#This Row],[NEW PRICE]]*eurofxref_daily[],2)</f>
        <v>313.71999999999997</v>
      </c>
      <c r="N98" s="506">
        <f>Tabela17812[[#This Row],[CAD PRICE]]*O98</f>
        <v>0</v>
      </c>
      <c r="O98" s="128">
        <f t="shared" si="5"/>
        <v>0</v>
      </c>
      <c r="P98" s="326">
        <f>Tabela17812[[#This Row],[SETS]]*Tabela17812[[#This Row],[Number of pcs]]</f>
        <v>0</v>
      </c>
      <c r="Q98" s="328">
        <f t="shared" si="4"/>
        <v>0</v>
      </c>
      <c r="R98" s="482"/>
      <c r="S98" s="486"/>
      <c r="T98" s="466"/>
      <c r="U98" s="435"/>
      <c r="V98" s="467"/>
      <c r="W98" s="468"/>
      <c r="X98" s="436"/>
      <c r="Y98" s="470"/>
      <c r="Z98" s="469"/>
      <c r="AA98" s="449"/>
      <c r="AB98" s="437"/>
      <c r="AC98" s="438"/>
      <c r="AD98" s="439"/>
      <c r="AE98" s="440"/>
      <c r="AF98" s="30"/>
    </row>
    <row r="99" spans="2:32" ht="12" thickBot="1" x14ac:dyDescent="0.25">
      <c r="B99" s="354" t="s">
        <v>1928</v>
      </c>
      <c r="C99" s="204" t="s">
        <v>1915</v>
      </c>
      <c r="D99" s="216">
        <v>1</v>
      </c>
      <c r="E99" s="48" t="s">
        <v>1409</v>
      </c>
      <c r="F99" s="47">
        <v>3.1</v>
      </c>
      <c r="G99" s="224">
        <v>128</v>
      </c>
      <c r="H99" s="49">
        <f>ROUNDUP(Tabela17812[[#This Row],[OLD PRICE]]*(1+PRICES!$C$6),0)</f>
        <v>154</v>
      </c>
      <c r="I99" s="49"/>
      <c r="J99" s="49">
        <v>0</v>
      </c>
      <c r="K99" s="49">
        <v>120.65</v>
      </c>
      <c r="L99" s="49">
        <v>120.65</v>
      </c>
      <c r="M99" s="507" cm="1">
        <f t="array" ref="M99">ROUNDUP(Tabela17812[[#This Row],[NEW PRICE]]*eurofxref_daily[],2)</f>
        <v>247.76</v>
      </c>
      <c r="N99" s="506">
        <f>Tabela17812[[#This Row],[CAD PRICE]]*O99</f>
        <v>0</v>
      </c>
      <c r="O99" s="128">
        <f>SUM(R99:AE99)</f>
        <v>0</v>
      </c>
      <c r="P99" s="326">
        <f>Tabela17812[[#This Row],[SETS]]*Tabela17812[[#This Row],[Number of pcs]]</f>
        <v>0</v>
      </c>
      <c r="Q99" s="328">
        <f t="shared" si="4"/>
        <v>0</v>
      </c>
      <c r="R99" s="482"/>
      <c r="S99" s="486"/>
      <c r="T99" s="466"/>
      <c r="U99" s="435"/>
      <c r="V99" s="467"/>
      <c r="W99" s="468"/>
      <c r="X99" s="436"/>
      <c r="Y99" s="470"/>
      <c r="Z99" s="469"/>
      <c r="AA99" s="449"/>
      <c r="AB99" s="437"/>
      <c r="AC99" s="438"/>
      <c r="AD99" s="439"/>
      <c r="AE99" s="440"/>
      <c r="AF99" s="30"/>
    </row>
    <row r="100" spans="2:32" ht="12" thickBot="1" x14ac:dyDescent="0.25">
      <c r="B100" s="354" t="s">
        <v>1929</v>
      </c>
      <c r="C100" s="204" t="s">
        <v>1916</v>
      </c>
      <c r="D100" s="216">
        <v>1</v>
      </c>
      <c r="E100" s="48" t="s">
        <v>1409</v>
      </c>
      <c r="F100" s="47">
        <v>3.2</v>
      </c>
      <c r="G100" s="224">
        <v>145</v>
      </c>
      <c r="H100" s="49">
        <f>ROUNDUP(Tabela17812[[#This Row],[OLD PRICE]]*(1+PRICES!$C$6),0)</f>
        <v>174</v>
      </c>
      <c r="I100" s="49"/>
      <c r="J100" s="49">
        <v>0</v>
      </c>
      <c r="K100" s="49">
        <v>135.88999999999999</v>
      </c>
      <c r="L100" s="49">
        <v>135.88999999999999</v>
      </c>
      <c r="M100" s="507" cm="1">
        <f t="array" ref="M100">ROUNDUP(Tabela17812[[#This Row],[NEW PRICE]]*eurofxref_daily[],2)</f>
        <v>279.94</v>
      </c>
      <c r="N100" s="506">
        <f>Tabela17812[[#This Row],[CAD PRICE]]*O100</f>
        <v>0</v>
      </c>
      <c r="O100" s="150">
        <f t="shared" si="5"/>
        <v>0</v>
      </c>
      <c r="P100" s="326">
        <f>Tabela17812[[#This Row],[SETS]]*Tabela17812[[#This Row],[Number of pcs]]</f>
        <v>0</v>
      </c>
      <c r="Q100" s="331">
        <f t="shared" si="4"/>
        <v>0</v>
      </c>
      <c r="R100" s="482"/>
      <c r="S100" s="486"/>
      <c r="T100" s="466"/>
      <c r="U100" s="435"/>
      <c r="V100" s="467"/>
      <c r="W100" s="468"/>
      <c r="X100" s="436"/>
      <c r="Y100" s="470"/>
      <c r="Z100" s="469"/>
      <c r="AA100" s="449"/>
      <c r="AB100" s="437"/>
      <c r="AC100" s="438"/>
      <c r="AD100" s="439"/>
      <c r="AE100" s="440"/>
      <c r="AF100" s="30"/>
    </row>
    <row r="101" spans="2:32" ht="12" thickBot="1" x14ac:dyDescent="0.25">
      <c r="B101" s="367" t="s">
        <v>1930</v>
      </c>
      <c r="C101" s="360"/>
      <c r="D101" s="361"/>
      <c r="E101" s="362"/>
      <c r="F101" s="363"/>
      <c r="G101" s="358"/>
      <c r="H101" s="362"/>
      <c r="I101" s="364"/>
      <c r="J101" s="364">
        <f>Tabela17812[[#This Row],[OLD PRICE]]*Tabela17812[[#This Row],[DISCOUNT per piece '[%']]]</f>
        <v>0</v>
      </c>
      <c r="K101" s="364">
        <f>Tabela17812[[#This Row],[OLD PRICE]]*(1-Tabela17812[[#This Row],[DISCOUNT per piece '[%']]])</f>
        <v>0</v>
      </c>
      <c r="L101" s="364">
        <f>Tabela17812[[#This Row],[SETS]]*Tabela17812[[#This Row],[PROMOTIONAL PRICE]]</f>
        <v>0</v>
      </c>
      <c r="M101" s="362"/>
      <c r="N101" s="362"/>
      <c r="O101" s="228"/>
      <c r="P101" s="349"/>
      <c r="Q101" s="368"/>
      <c r="R101" s="80"/>
      <c r="S101" s="80"/>
      <c r="T101" s="80"/>
      <c r="U101" s="80"/>
      <c r="V101" s="80"/>
      <c r="W101" s="80"/>
      <c r="X101" s="80"/>
      <c r="Y101" s="80"/>
      <c r="Z101" s="457"/>
      <c r="AA101" s="454"/>
      <c r="AB101" s="353"/>
      <c r="AC101" s="353"/>
      <c r="AD101" s="353"/>
      <c r="AE101" s="353"/>
      <c r="AF101" s="30"/>
    </row>
    <row r="102" spans="2:32" ht="12" thickBot="1" x14ac:dyDescent="0.25">
      <c r="B102" s="374" t="s">
        <v>1942</v>
      </c>
      <c r="C102" s="204" t="s">
        <v>1931</v>
      </c>
      <c r="D102" s="216">
        <v>10</v>
      </c>
      <c r="E102" s="48" t="s">
        <v>1447</v>
      </c>
      <c r="F102" s="47">
        <v>0.2</v>
      </c>
      <c r="G102" s="224">
        <v>59</v>
      </c>
      <c r="H102" s="49">
        <f>ROUNDUP(Tabela17812[[#This Row],[OLD PRICE]]*(1+PRICES!$C$6),0)</f>
        <v>71</v>
      </c>
      <c r="I102" s="49"/>
      <c r="J102" s="49">
        <f>Tabela17812[[#This Row],[OLD PRICE]]*Tabela17812[[#This Row],[DISCOUNT per piece '[%']]]</f>
        <v>0</v>
      </c>
      <c r="K102" s="49">
        <f>Tabela17812[[#This Row],[OLD PRICE]]*(1-Tabela17812[[#This Row],[DISCOUNT per piece '[%']]])</f>
        <v>59</v>
      </c>
      <c r="L102" s="49">
        <f>Tabela17812[[#This Row],[SETS]]*Tabela17812[[#This Row],[PROMOTIONAL PRICE]]</f>
        <v>0</v>
      </c>
      <c r="M102" s="507" cm="1">
        <f t="array" ref="M102">ROUNDUP(Tabela17812[[#This Row],[NEW PRICE]]*eurofxref_daily[],2)</f>
        <v>114.23</v>
      </c>
      <c r="N102" s="506">
        <f>Tabela17812[[#This Row],[CAD PRICE]]*O102</f>
        <v>0</v>
      </c>
      <c r="O102" s="355">
        <f t="shared" ref="O102:O113" si="6">SUM(R102:AE102)</f>
        <v>0</v>
      </c>
      <c r="P102" s="326">
        <f>Tabela17812[[#This Row],[SETS]]*Tabela17812[[#This Row],[Number of pcs]]</f>
        <v>0</v>
      </c>
      <c r="Q102" s="356">
        <f t="shared" ref="Q102:Q108" si="7">O102*F102</f>
        <v>0</v>
      </c>
      <c r="R102" s="482"/>
      <c r="S102" s="486"/>
      <c r="T102" s="466"/>
      <c r="U102" s="435"/>
      <c r="V102" s="467"/>
      <c r="W102" s="468"/>
      <c r="X102" s="436"/>
      <c r="Y102" s="470"/>
      <c r="Z102" s="469"/>
      <c r="AA102" s="449"/>
      <c r="AB102" s="437"/>
      <c r="AC102" s="438"/>
      <c r="AD102" s="439"/>
      <c r="AE102" s="440"/>
      <c r="AF102" s="30"/>
    </row>
    <row r="103" spans="2:32" ht="12" thickBot="1" x14ac:dyDescent="0.25">
      <c r="B103" s="374" t="s">
        <v>1943</v>
      </c>
      <c r="C103" s="204" t="s">
        <v>1932</v>
      </c>
      <c r="D103" s="216">
        <v>10</v>
      </c>
      <c r="E103" s="48" t="s">
        <v>1447</v>
      </c>
      <c r="F103" s="47">
        <v>0.2</v>
      </c>
      <c r="G103" s="224">
        <v>59</v>
      </c>
      <c r="H103" s="49">
        <f>ROUNDUP(Tabela17812[[#This Row],[OLD PRICE]]*(1+PRICES!$C$6),0)</f>
        <v>71</v>
      </c>
      <c r="I103" s="49"/>
      <c r="J103" s="49">
        <f>Tabela17812[[#This Row],[OLD PRICE]]*Tabela17812[[#This Row],[DISCOUNT per piece '[%']]]</f>
        <v>0</v>
      </c>
      <c r="K103" s="49">
        <f>Tabela17812[[#This Row],[OLD PRICE]]*(1-Tabela17812[[#This Row],[DISCOUNT per piece '[%']]])</f>
        <v>59</v>
      </c>
      <c r="L103" s="49">
        <f>Tabela17812[[#This Row],[SETS]]*Tabela17812[[#This Row],[PROMOTIONAL PRICE]]</f>
        <v>0</v>
      </c>
      <c r="M103" s="507" cm="1">
        <f t="array" ref="M103">ROUNDUP(Tabela17812[[#This Row],[NEW PRICE]]*eurofxref_daily[],2)</f>
        <v>114.23</v>
      </c>
      <c r="N103" s="506">
        <f>Tabela17812[[#This Row],[CAD PRICE]]*O103</f>
        <v>0</v>
      </c>
      <c r="O103" s="128">
        <f t="shared" si="6"/>
        <v>0</v>
      </c>
      <c r="P103" s="326">
        <f>Tabela17812[[#This Row],[SETS]]*Tabela17812[[#This Row],[Number of pcs]]</f>
        <v>0</v>
      </c>
      <c r="Q103" s="328">
        <f t="shared" si="7"/>
        <v>0</v>
      </c>
      <c r="R103" s="482"/>
      <c r="S103" s="486"/>
      <c r="T103" s="466"/>
      <c r="U103" s="435"/>
      <c r="V103" s="467"/>
      <c r="W103" s="468"/>
      <c r="X103" s="436"/>
      <c r="Y103" s="470"/>
      <c r="Z103" s="469"/>
      <c r="AA103" s="449"/>
      <c r="AB103" s="437"/>
      <c r="AC103" s="438"/>
      <c r="AD103" s="439"/>
      <c r="AE103" s="440"/>
      <c r="AF103" s="30"/>
    </row>
    <row r="104" spans="2:32" ht="12" hidden="1" thickBot="1" x14ac:dyDescent="0.25">
      <c r="B104" s="374" t="s">
        <v>1944</v>
      </c>
      <c r="C104" s="204" t="s">
        <v>1933</v>
      </c>
      <c r="D104" s="216">
        <v>10</v>
      </c>
      <c r="E104" s="48" t="s">
        <v>1447</v>
      </c>
      <c r="F104" s="47">
        <v>0.28000000000000003</v>
      </c>
      <c r="G104" s="224">
        <v>59</v>
      </c>
      <c r="H104" s="49">
        <f>ROUNDUP(Tabela17812[[#This Row],[OLD PRICE]]*(1+PRICES!$C$6),0)</f>
        <v>71</v>
      </c>
      <c r="I104" s="49"/>
      <c r="J104" s="49">
        <f>Tabela17812[[#This Row],[OLD PRICE]]*Tabela17812[[#This Row],[DISCOUNT per piece '[%']]]</f>
        <v>0</v>
      </c>
      <c r="K104" s="49">
        <f>Tabela17812[[#This Row],[OLD PRICE]]*(1-Tabela17812[[#This Row],[DISCOUNT per piece '[%']]])</f>
        <v>59</v>
      </c>
      <c r="L104" s="49">
        <f>Tabela17812[[#This Row],[SETS]]*Tabela17812[[#This Row],[PROMOTIONAL PRICE]]</f>
        <v>0</v>
      </c>
      <c r="M104" s="507" cm="1">
        <f t="array" ref="M104">ROUNDUP(Tabela17812[[#This Row],[NEW PRICE]]*eurofxref_daily[],2)</f>
        <v>114.23</v>
      </c>
      <c r="N104" s="506">
        <f>Tabela17812[[#This Row],[CAD PRICE]]*O104</f>
        <v>0</v>
      </c>
      <c r="O104" s="128">
        <f>SUM(R104:AE104)</f>
        <v>0</v>
      </c>
      <c r="P104" s="326">
        <f>Tabela17812[[#This Row],[SETS]]*Tabela17812[[#This Row],[Number of pcs]]</f>
        <v>0</v>
      </c>
      <c r="Q104" s="328">
        <f>O104*F104</f>
        <v>0</v>
      </c>
      <c r="R104" s="482"/>
      <c r="S104" s="486"/>
      <c r="T104" s="466"/>
      <c r="U104" s="435"/>
      <c r="V104" s="467"/>
      <c r="W104" s="468"/>
      <c r="X104" s="436"/>
      <c r="Y104" s="470"/>
      <c r="Z104" s="469"/>
      <c r="AA104" s="449"/>
      <c r="AB104" s="437"/>
      <c r="AC104" s="438"/>
      <c r="AD104" s="439"/>
      <c r="AE104" s="440"/>
      <c r="AF104" s="30"/>
    </row>
    <row r="105" spans="2:32" ht="12" hidden="1" thickBot="1" x14ac:dyDescent="0.25">
      <c r="B105" s="374" t="s">
        <v>1945</v>
      </c>
      <c r="C105" s="204" t="s">
        <v>1934</v>
      </c>
      <c r="D105" s="216">
        <v>10</v>
      </c>
      <c r="E105" s="48" t="s">
        <v>1444</v>
      </c>
      <c r="F105" s="47">
        <v>0.5</v>
      </c>
      <c r="G105" s="224">
        <v>96</v>
      </c>
      <c r="H105" s="49">
        <f>ROUNDUP(Tabela17812[[#This Row],[OLD PRICE]]*(1+PRICES!$C$6),0)</f>
        <v>116</v>
      </c>
      <c r="I105" s="49"/>
      <c r="J105" s="49">
        <f>Tabela17812[[#This Row],[OLD PRICE]]*Tabela17812[[#This Row],[DISCOUNT per piece '[%']]]</f>
        <v>0</v>
      </c>
      <c r="K105" s="49">
        <f>Tabela17812[[#This Row],[OLD PRICE]]*(1-Tabela17812[[#This Row],[DISCOUNT per piece '[%']]])</f>
        <v>96</v>
      </c>
      <c r="L105" s="49">
        <f>Tabela17812[[#This Row],[SETS]]*Tabela17812[[#This Row],[PROMOTIONAL PRICE]]</f>
        <v>0</v>
      </c>
      <c r="M105" s="507" cm="1">
        <f t="array" ref="M105">ROUNDUP(Tabela17812[[#This Row],[NEW PRICE]]*eurofxref_daily[],2)</f>
        <v>186.63</v>
      </c>
      <c r="N105" s="506">
        <f>Tabela17812[[#This Row],[CAD PRICE]]*O105</f>
        <v>0</v>
      </c>
      <c r="O105" s="128">
        <f t="shared" si="6"/>
        <v>0</v>
      </c>
      <c r="P105" s="326">
        <f>Tabela17812[[#This Row],[SETS]]*Tabela17812[[#This Row],[Number of pcs]]</f>
        <v>0</v>
      </c>
      <c r="Q105" s="328">
        <f t="shared" si="7"/>
        <v>0</v>
      </c>
      <c r="R105" s="482"/>
      <c r="S105" s="486"/>
      <c r="T105" s="466"/>
      <c r="U105" s="435"/>
      <c r="V105" s="467"/>
      <c r="W105" s="468"/>
      <c r="X105" s="436"/>
      <c r="Y105" s="470"/>
      <c r="Z105" s="469"/>
      <c r="AA105" s="449"/>
      <c r="AB105" s="437"/>
      <c r="AC105" s="438"/>
      <c r="AD105" s="439"/>
      <c r="AE105" s="440"/>
      <c r="AF105" s="30"/>
    </row>
    <row r="106" spans="2:32" ht="12" thickBot="1" x14ac:dyDescent="0.25">
      <c r="B106" s="374" t="s">
        <v>1946</v>
      </c>
      <c r="C106" s="204" t="s">
        <v>1935</v>
      </c>
      <c r="D106" s="216">
        <v>10</v>
      </c>
      <c r="E106" s="48" t="s">
        <v>659</v>
      </c>
      <c r="F106" s="47">
        <v>0.86</v>
      </c>
      <c r="G106" s="224">
        <v>96</v>
      </c>
      <c r="H106" s="49">
        <f>ROUNDUP(Tabela17812[[#This Row],[OLD PRICE]]*(1+PRICES!$C$6),0)</f>
        <v>116</v>
      </c>
      <c r="I106" s="49"/>
      <c r="J106" s="49">
        <f>Tabela17812[[#This Row],[OLD PRICE]]*Tabela17812[[#This Row],[DISCOUNT per piece '[%']]]</f>
        <v>0</v>
      </c>
      <c r="K106" s="49">
        <f>Tabela17812[[#This Row],[OLD PRICE]]*(1-Tabela17812[[#This Row],[DISCOUNT per piece '[%']]])</f>
        <v>96</v>
      </c>
      <c r="L106" s="49">
        <f>Tabela17812[[#This Row],[SETS]]*Tabela17812[[#This Row],[PROMOTIONAL PRICE]]</f>
        <v>0</v>
      </c>
      <c r="M106" s="507" cm="1">
        <f t="array" ref="M106">ROUNDUP(Tabela17812[[#This Row],[NEW PRICE]]*eurofxref_daily[],2)</f>
        <v>186.63</v>
      </c>
      <c r="N106" s="506">
        <f>Tabela17812[[#This Row],[CAD PRICE]]*O106</f>
        <v>0</v>
      </c>
      <c r="O106" s="128">
        <f t="shared" si="6"/>
        <v>0</v>
      </c>
      <c r="P106" s="326">
        <f>Tabela17812[[#This Row],[SETS]]*Tabela17812[[#This Row],[Number of pcs]]</f>
        <v>0</v>
      </c>
      <c r="Q106" s="328">
        <f t="shared" si="7"/>
        <v>0</v>
      </c>
      <c r="R106" s="482"/>
      <c r="S106" s="486"/>
      <c r="T106" s="466"/>
      <c r="U106" s="435"/>
      <c r="V106" s="467"/>
      <c r="W106" s="468"/>
      <c r="X106" s="436"/>
      <c r="Y106" s="470"/>
      <c r="Z106" s="469"/>
      <c r="AA106" s="449"/>
      <c r="AB106" s="437"/>
      <c r="AC106" s="438"/>
      <c r="AD106" s="439"/>
      <c r="AE106" s="440"/>
      <c r="AF106" s="30"/>
    </row>
    <row r="107" spans="2:32" ht="12" thickBot="1" x14ac:dyDescent="0.25">
      <c r="B107" s="374" t="s">
        <v>1947</v>
      </c>
      <c r="C107" s="204" t="s">
        <v>1936</v>
      </c>
      <c r="D107" s="216">
        <v>5</v>
      </c>
      <c r="E107" s="48" t="s">
        <v>660</v>
      </c>
      <c r="F107" s="47">
        <v>1.85</v>
      </c>
      <c r="G107" s="224">
        <v>113</v>
      </c>
      <c r="H107" s="49">
        <f>ROUNDUP(Tabela17812[[#This Row],[OLD PRICE]]*(1+PRICES!$C$6),0)</f>
        <v>136</v>
      </c>
      <c r="I107" s="49"/>
      <c r="J107" s="49">
        <f>Tabela17812[[#This Row],[OLD PRICE]]*Tabela17812[[#This Row],[DISCOUNT per piece '[%']]]</f>
        <v>0</v>
      </c>
      <c r="K107" s="49">
        <f>Tabela17812[[#This Row],[OLD PRICE]]*(1-Tabela17812[[#This Row],[DISCOUNT per piece '[%']]])</f>
        <v>113</v>
      </c>
      <c r="L107" s="49">
        <f>Tabela17812[[#This Row],[SETS]]*Tabela17812[[#This Row],[PROMOTIONAL PRICE]]</f>
        <v>0</v>
      </c>
      <c r="M107" s="507" cm="1">
        <f t="array" ref="M107">ROUNDUP(Tabela17812[[#This Row],[NEW PRICE]]*eurofxref_daily[],2)</f>
        <v>218.79999999999998</v>
      </c>
      <c r="N107" s="506">
        <f>Tabela17812[[#This Row],[CAD PRICE]]*O107</f>
        <v>0</v>
      </c>
      <c r="O107" s="128">
        <f t="shared" si="6"/>
        <v>0</v>
      </c>
      <c r="P107" s="326">
        <f>Tabela17812[[#This Row],[SETS]]*Tabela17812[[#This Row],[Number of pcs]]</f>
        <v>0</v>
      </c>
      <c r="Q107" s="328">
        <f t="shared" si="7"/>
        <v>0</v>
      </c>
      <c r="R107" s="482"/>
      <c r="S107" s="486"/>
      <c r="T107" s="466"/>
      <c r="U107" s="435"/>
      <c r="V107" s="467"/>
      <c r="W107" s="468"/>
      <c r="X107" s="436"/>
      <c r="Y107" s="470"/>
      <c r="Z107" s="469"/>
      <c r="AA107" s="449"/>
      <c r="AB107" s="437"/>
      <c r="AC107" s="438"/>
      <c r="AD107" s="439"/>
      <c r="AE107" s="440"/>
      <c r="AF107" s="30"/>
    </row>
    <row r="108" spans="2:32" ht="12" thickBot="1" x14ac:dyDescent="0.25">
      <c r="B108" s="374" t="s">
        <v>1948</v>
      </c>
      <c r="C108" s="204" t="s">
        <v>1937</v>
      </c>
      <c r="D108" s="216">
        <v>5</v>
      </c>
      <c r="E108" s="48" t="s">
        <v>660</v>
      </c>
      <c r="F108" s="47">
        <v>1.76</v>
      </c>
      <c r="G108" s="224">
        <v>122</v>
      </c>
      <c r="H108" s="49">
        <f>ROUNDUP(Tabela17812[[#This Row],[OLD PRICE]]*(1+PRICES!$C$6),0)</f>
        <v>147</v>
      </c>
      <c r="I108" s="49"/>
      <c r="J108" s="49">
        <f>Tabela17812[[#This Row],[OLD PRICE]]*Tabela17812[[#This Row],[DISCOUNT per piece '[%']]]</f>
        <v>0</v>
      </c>
      <c r="K108" s="49">
        <f>Tabela17812[[#This Row],[OLD PRICE]]*(1-Tabela17812[[#This Row],[DISCOUNT per piece '[%']]])</f>
        <v>122</v>
      </c>
      <c r="L108" s="49">
        <f>Tabela17812[[#This Row],[SETS]]*Tabela17812[[#This Row],[PROMOTIONAL PRICE]]</f>
        <v>0</v>
      </c>
      <c r="M108" s="507" cm="1">
        <f t="array" ref="M108">ROUNDUP(Tabela17812[[#This Row],[NEW PRICE]]*eurofxref_daily[],2)</f>
        <v>236.5</v>
      </c>
      <c r="N108" s="506">
        <f>Tabela17812[[#This Row],[CAD PRICE]]*O108</f>
        <v>0</v>
      </c>
      <c r="O108" s="128">
        <f t="shared" si="6"/>
        <v>0</v>
      </c>
      <c r="P108" s="326">
        <f>Tabela17812[[#This Row],[SETS]]*Tabela17812[[#This Row],[Number of pcs]]</f>
        <v>0</v>
      </c>
      <c r="Q108" s="328">
        <f t="shared" si="7"/>
        <v>0</v>
      </c>
      <c r="R108" s="482"/>
      <c r="S108" s="486"/>
      <c r="T108" s="466"/>
      <c r="U108" s="435"/>
      <c r="V108" s="467"/>
      <c r="W108" s="468"/>
      <c r="X108" s="436"/>
      <c r="Y108" s="470"/>
      <c r="Z108" s="469"/>
      <c r="AA108" s="449"/>
      <c r="AB108" s="437"/>
      <c r="AC108" s="438"/>
      <c r="AD108" s="439"/>
      <c r="AE108" s="440"/>
      <c r="AF108" s="30"/>
    </row>
    <row r="109" spans="2:32" ht="12" thickBot="1" x14ac:dyDescent="0.25">
      <c r="B109" s="374" t="s">
        <v>1949</v>
      </c>
      <c r="C109" s="204" t="s">
        <v>1938</v>
      </c>
      <c r="D109" s="216">
        <v>3</v>
      </c>
      <c r="E109" s="48" t="s">
        <v>1421</v>
      </c>
      <c r="F109" s="47">
        <v>1.42</v>
      </c>
      <c r="G109" s="224">
        <v>133</v>
      </c>
      <c r="H109" s="49">
        <f>ROUNDUP(Tabela17812[[#This Row],[OLD PRICE]]*(1+PRICES!$C$6),0)</f>
        <v>160</v>
      </c>
      <c r="I109" s="49"/>
      <c r="J109" s="49">
        <f>Tabela17812[[#This Row],[OLD PRICE]]*Tabela17812[[#This Row],[DISCOUNT per piece '[%']]]</f>
        <v>0</v>
      </c>
      <c r="K109" s="49">
        <f>Tabela17812[[#This Row],[OLD PRICE]]*(1-Tabela17812[[#This Row],[DISCOUNT per piece '[%']]])</f>
        <v>133</v>
      </c>
      <c r="L109" s="49">
        <f>Tabela17812[[#This Row],[SETS]]*Tabela17812[[#This Row],[PROMOTIONAL PRICE]]</f>
        <v>0</v>
      </c>
      <c r="M109" s="507" cm="1">
        <f t="array" ref="M109">ROUNDUP(Tabela17812[[#This Row],[NEW PRICE]]*eurofxref_daily[],2)</f>
        <v>257.40999999999997</v>
      </c>
      <c r="N109" s="506">
        <f>Tabela17812[[#This Row],[CAD PRICE]]*O109</f>
        <v>0</v>
      </c>
      <c r="O109" s="128">
        <f t="shared" si="6"/>
        <v>0</v>
      </c>
      <c r="P109" s="326">
        <f>Tabela17812[[#This Row],[SETS]]*Tabela17812[[#This Row],[Number of pcs]]</f>
        <v>0</v>
      </c>
      <c r="Q109" s="328">
        <f t="shared" ref="Q109:Q115" si="8">O109*F109</f>
        <v>0</v>
      </c>
      <c r="R109" s="482"/>
      <c r="S109" s="486"/>
      <c r="T109" s="466"/>
      <c r="U109" s="435"/>
      <c r="V109" s="467"/>
      <c r="W109" s="468"/>
      <c r="X109" s="436"/>
      <c r="Y109" s="470"/>
      <c r="Z109" s="469"/>
      <c r="AA109" s="449"/>
      <c r="AB109" s="437"/>
      <c r="AC109" s="438"/>
      <c r="AD109" s="439"/>
      <c r="AE109" s="440"/>
      <c r="AF109" s="30"/>
    </row>
    <row r="110" spans="2:32" ht="12" thickBot="1" x14ac:dyDescent="0.25">
      <c r="B110" s="374" t="s">
        <v>1950</v>
      </c>
      <c r="C110" s="204" t="s">
        <v>1939</v>
      </c>
      <c r="D110" s="216">
        <v>3</v>
      </c>
      <c r="E110" s="48" t="s">
        <v>1421</v>
      </c>
      <c r="F110" s="47">
        <v>2.2999999999999998</v>
      </c>
      <c r="G110" s="224">
        <v>133</v>
      </c>
      <c r="H110" s="49">
        <f>ROUNDUP(Tabela17812[[#This Row],[OLD PRICE]]*(1+PRICES!$C$6),0)</f>
        <v>160</v>
      </c>
      <c r="I110" s="49"/>
      <c r="J110" s="49">
        <f>Tabela17812[[#This Row],[OLD PRICE]]*Tabela17812[[#This Row],[DISCOUNT per piece '[%']]]</f>
        <v>0</v>
      </c>
      <c r="K110" s="49">
        <f>Tabela17812[[#This Row],[OLD PRICE]]*(1-Tabela17812[[#This Row],[DISCOUNT per piece '[%']]])</f>
        <v>133</v>
      </c>
      <c r="L110" s="49">
        <f>Tabela17812[[#This Row],[SETS]]*Tabela17812[[#This Row],[PROMOTIONAL PRICE]]</f>
        <v>0</v>
      </c>
      <c r="M110" s="507" cm="1">
        <f t="array" ref="M110">ROUNDUP(Tabela17812[[#This Row],[NEW PRICE]]*eurofxref_daily[],2)</f>
        <v>257.40999999999997</v>
      </c>
      <c r="N110" s="506">
        <f>Tabela17812[[#This Row],[CAD PRICE]]*O110</f>
        <v>0</v>
      </c>
      <c r="O110" s="128">
        <f t="shared" si="6"/>
        <v>0</v>
      </c>
      <c r="P110" s="326">
        <f>Tabela17812[[#This Row],[SETS]]*Tabela17812[[#This Row],[Number of pcs]]</f>
        <v>0</v>
      </c>
      <c r="Q110" s="328">
        <f t="shared" si="8"/>
        <v>0</v>
      </c>
      <c r="R110" s="482"/>
      <c r="S110" s="486"/>
      <c r="T110" s="466"/>
      <c r="U110" s="435"/>
      <c r="V110" s="467"/>
      <c r="W110" s="468"/>
      <c r="X110" s="436"/>
      <c r="Y110" s="470"/>
      <c r="Z110" s="469"/>
      <c r="AA110" s="449"/>
      <c r="AB110" s="437"/>
      <c r="AC110" s="438"/>
      <c r="AD110" s="439"/>
      <c r="AE110" s="440"/>
      <c r="AF110" s="30"/>
    </row>
    <row r="111" spans="2:32" ht="12" thickBot="1" x14ac:dyDescent="0.25">
      <c r="B111" s="374" t="s">
        <v>1951</v>
      </c>
      <c r="C111" s="204" t="s">
        <v>1940</v>
      </c>
      <c r="D111" s="216">
        <v>2</v>
      </c>
      <c r="E111" s="48" t="s">
        <v>1416</v>
      </c>
      <c r="F111" s="47">
        <v>3.98</v>
      </c>
      <c r="G111" s="224">
        <v>149</v>
      </c>
      <c r="H111" s="49">
        <f>ROUNDUP(Tabela17812[[#This Row],[OLD PRICE]]*(1+PRICES!$C$6),0)</f>
        <v>179</v>
      </c>
      <c r="I111" s="49"/>
      <c r="J111" s="49">
        <f>Tabela17812[[#This Row],[OLD PRICE]]*Tabela17812[[#This Row],[DISCOUNT per piece '[%']]]</f>
        <v>0</v>
      </c>
      <c r="K111" s="49">
        <f>Tabela17812[[#This Row],[OLD PRICE]]*(1-Tabela17812[[#This Row],[DISCOUNT per piece '[%']]])</f>
        <v>149</v>
      </c>
      <c r="L111" s="49">
        <f>Tabela17812[[#This Row],[SETS]]*Tabela17812[[#This Row],[PROMOTIONAL PRICE]]</f>
        <v>0</v>
      </c>
      <c r="M111" s="507" cm="1">
        <f t="array" ref="M111">ROUNDUP(Tabela17812[[#This Row],[NEW PRICE]]*eurofxref_daily[],2)</f>
        <v>287.98</v>
      </c>
      <c r="N111" s="506">
        <f>Tabela17812[[#This Row],[CAD PRICE]]*O111</f>
        <v>0</v>
      </c>
      <c r="O111" s="128">
        <f t="shared" si="6"/>
        <v>0</v>
      </c>
      <c r="P111" s="326">
        <f>Tabela17812[[#This Row],[SETS]]*Tabela17812[[#This Row],[Number of pcs]]</f>
        <v>0</v>
      </c>
      <c r="Q111" s="328">
        <f t="shared" si="8"/>
        <v>0</v>
      </c>
      <c r="R111" s="482"/>
      <c r="S111" s="486"/>
      <c r="T111" s="466"/>
      <c r="U111" s="435"/>
      <c r="V111" s="467"/>
      <c r="W111" s="468"/>
      <c r="X111" s="436"/>
      <c r="Y111" s="470"/>
      <c r="Z111" s="469"/>
      <c r="AA111" s="449"/>
      <c r="AB111" s="437"/>
      <c r="AC111" s="438"/>
      <c r="AD111" s="439"/>
      <c r="AE111" s="440"/>
      <c r="AF111" s="30"/>
    </row>
    <row r="112" spans="2:32" ht="12" thickBot="1" x14ac:dyDescent="0.25">
      <c r="B112" s="354" t="s">
        <v>1952</v>
      </c>
      <c r="C112" s="204" t="s">
        <v>1941</v>
      </c>
      <c r="D112" s="216">
        <v>2</v>
      </c>
      <c r="E112" s="48" t="s">
        <v>1416</v>
      </c>
      <c r="F112" s="47">
        <v>4.09</v>
      </c>
      <c r="G112" s="224">
        <v>165</v>
      </c>
      <c r="H112" s="49">
        <f>ROUNDUP(Tabela17812[[#This Row],[OLD PRICE]]*(1+PRICES!$C$6),0)</f>
        <v>198</v>
      </c>
      <c r="I112" s="49"/>
      <c r="J112" s="49">
        <f>Tabela17812[[#This Row],[OLD PRICE]]*Tabela17812[[#This Row],[DISCOUNT per piece '[%']]]</f>
        <v>0</v>
      </c>
      <c r="K112" s="49">
        <f>Tabela17812[[#This Row],[OLD PRICE]]*(1-Tabela17812[[#This Row],[DISCOUNT per piece '[%']]])</f>
        <v>165</v>
      </c>
      <c r="L112" s="49">
        <f>Tabela17812[[#This Row],[SETS]]*Tabela17812[[#This Row],[PROMOTIONAL PRICE]]</f>
        <v>0</v>
      </c>
      <c r="M112" s="507" cm="1">
        <f t="array" ref="M112">ROUNDUP(Tabela17812[[#This Row],[NEW PRICE]]*eurofxref_daily[],2)</f>
        <v>318.55</v>
      </c>
      <c r="N112" s="506">
        <f>Tabela17812[[#This Row],[CAD PRICE]]*O112</f>
        <v>0</v>
      </c>
      <c r="O112" s="128">
        <f>SUM(R112:AE112)</f>
        <v>0</v>
      </c>
      <c r="P112" s="326">
        <f>Tabela17812[[#This Row],[SETS]]*Tabela17812[[#This Row],[Number of pcs]]</f>
        <v>0</v>
      </c>
      <c r="Q112" s="328">
        <f t="shared" si="8"/>
        <v>0</v>
      </c>
      <c r="R112" s="482"/>
      <c r="S112" s="486"/>
      <c r="T112" s="466"/>
      <c r="U112" s="435"/>
      <c r="V112" s="467"/>
      <c r="W112" s="468"/>
      <c r="X112" s="436"/>
      <c r="Y112" s="470"/>
      <c r="Z112" s="469"/>
      <c r="AA112" s="449"/>
      <c r="AB112" s="437"/>
      <c r="AC112" s="438"/>
      <c r="AD112" s="439"/>
      <c r="AE112" s="440"/>
      <c r="AF112" s="30"/>
    </row>
    <row r="113" spans="2:32" ht="12" hidden="1" thickBot="1" x14ac:dyDescent="0.25">
      <c r="B113" s="354" t="s">
        <v>1953</v>
      </c>
      <c r="C113" s="204" t="s">
        <v>1954</v>
      </c>
      <c r="D113" s="216">
        <v>2</v>
      </c>
      <c r="E113" s="48" t="s">
        <v>1416</v>
      </c>
      <c r="F113" s="47">
        <v>3.5</v>
      </c>
      <c r="G113" s="224">
        <v>165</v>
      </c>
      <c r="H113" s="49">
        <f>ROUNDUP(Tabela17812[[#This Row],[OLD PRICE]]*(1+PRICES!$C$6),0)</f>
        <v>198</v>
      </c>
      <c r="I113" s="49"/>
      <c r="J113" s="49">
        <f>Tabela17812[[#This Row],[OLD PRICE]]*Tabela17812[[#This Row],[DISCOUNT per piece '[%']]]</f>
        <v>0</v>
      </c>
      <c r="K113" s="49">
        <f>Tabela17812[[#This Row],[OLD PRICE]]*(1-Tabela17812[[#This Row],[DISCOUNT per piece '[%']]])</f>
        <v>165</v>
      </c>
      <c r="L113" s="49">
        <f>Tabela17812[[#This Row],[SETS]]*Tabela17812[[#This Row],[PROMOTIONAL PRICE]]</f>
        <v>0</v>
      </c>
      <c r="M113" s="507" cm="1">
        <f t="array" ref="M113">ROUNDUP(Tabela17812[[#This Row],[NEW PRICE]]*eurofxref_daily[],2)</f>
        <v>318.55</v>
      </c>
      <c r="N113" s="506">
        <f>Tabela17812[[#This Row],[CAD PRICE]]*O113</f>
        <v>0</v>
      </c>
      <c r="O113" s="128">
        <f t="shared" si="6"/>
        <v>0</v>
      </c>
      <c r="P113" s="326">
        <f>Tabela17812[[#This Row],[SETS]]*Tabela17812[[#This Row],[Number of pcs]]</f>
        <v>0</v>
      </c>
      <c r="Q113" s="328">
        <f t="shared" si="8"/>
        <v>0</v>
      </c>
      <c r="R113" s="482"/>
      <c r="S113" s="486"/>
      <c r="T113" s="466"/>
      <c r="U113" s="435"/>
      <c r="V113" s="467"/>
      <c r="W113" s="468"/>
      <c r="X113" s="436"/>
      <c r="Y113" s="470"/>
      <c r="Z113" s="469"/>
      <c r="AA113" s="449"/>
      <c r="AB113" s="437"/>
      <c r="AC113" s="438"/>
      <c r="AD113" s="439"/>
      <c r="AE113" s="440"/>
      <c r="AF113" s="30"/>
    </row>
    <row r="114" spans="2:32" ht="12" thickBot="1" x14ac:dyDescent="0.25">
      <c r="B114" s="367" t="s">
        <v>2046</v>
      </c>
      <c r="C114" s="425" t="s">
        <v>2048</v>
      </c>
      <c r="D114" s="361"/>
      <c r="E114" s="362"/>
      <c r="F114" s="363"/>
      <c r="G114" s="348"/>
      <c r="H114" s="362"/>
      <c r="I114" s="364"/>
      <c r="J114" s="364">
        <f>Tabela17812[[#This Row],[OLD PRICE]]*Tabela17812[[#This Row],[DISCOUNT per piece '[%']]]</f>
        <v>0</v>
      </c>
      <c r="K114" s="364">
        <f>Tabela17812[[#This Row],[OLD PRICE]]*(1-Tabela17812[[#This Row],[DISCOUNT per piece '[%']]])</f>
        <v>0</v>
      </c>
      <c r="L114" s="364">
        <f>Tabela17812[[#This Row],[SETS]]*Tabela17812[[#This Row],[PROMOTIONAL PRICE]]</f>
        <v>0</v>
      </c>
      <c r="M114" s="362"/>
      <c r="N114" s="362"/>
      <c r="O114" s="424"/>
      <c r="P114" s="409"/>
      <c r="Q114" s="424">
        <f t="shared" si="8"/>
        <v>0</v>
      </c>
      <c r="R114" s="80"/>
      <c r="S114" s="80"/>
      <c r="T114" s="80"/>
      <c r="U114" s="80"/>
      <c r="V114" s="80"/>
      <c r="W114" s="80"/>
      <c r="X114" s="80"/>
      <c r="Y114" s="80"/>
      <c r="Z114" s="457"/>
      <c r="AA114" s="454"/>
      <c r="AB114" s="353"/>
      <c r="AC114" s="353"/>
      <c r="AD114" s="353"/>
      <c r="AE114" s="353"/>
      <c r="AF114" s="30"/>
    </row>
    <row r="115" spans="2:32" s="427" customFormat="1" ht="11.25" x14ac:dyDescent="0.2">
      <c r="B115" s="431" t="s">
        <v>2049</v>
      </c>
      <c r="C115" s="87" t="s">
        <v>2047</v>
      </c>
      <c r="D115" s="87">
        <v>15</v>
      </c>
      <c r="E115" s="433" t="s">
        <v>1447</v>
      </c>
      <c r="F115" s="87"/>
      <c r="G115" s="432">
        <v>65</v>
      </c>
      <c r="H115" s="49">
        <f>ROUNDUP(Tabela17812[[#This Row],[OLD PRICE]]*(1+PRICES!$C$6),0)</f>
        <v>78</v>
      </c>
      <c r="I115" s="87"/>
      <c r="J115" s="87">
        <f>Tabela17812[[#This Row],[OLD PRICE]]*Tabela17812[[#This Row],[DISCOUNT per piece '[%']]]</f>
        <v>0</v>
      </c>
      <c r="K115" s="87">
        <f>Tabela17812[[#This Row],[OLD PRICE]]*(1-Tabela17812[[#This Row],[DISCOUNT per piece '[%']]])</f>
        <v>65</v>
      </c>
      <c r="L115" s="87">
        <f>Tabela17812[[#This Row],[SETS]]*Tabela17812[[#This Row],[PROMOTIONAL PRICE]]</f>
        <v>0</v>
      </c>
      <c r="M115" s="507" cm="1">
        <f t="array" ref="M115">ROUNDUP(Tabela17812[[#This Row],[NEW PRICE]]*eurofxref_daily[],2)</f>
        <v>125.49000000000001</v>
      </c>
      <c r="N115" s="506">
        <f>Tabela17812[[#This Row],[CAD PRICE]]*O115</f>
        <v>0</v>
      </c>
      <c r="O115" s="87">
        <f>SUM(R115:AE115)</f>
        <v>0</v>
      </c>
      <c r="P115" s="87">
        <f>Tabela17812[[#This Row],[SETS]]*Tabela17812[[#This Row],[Number of pcs]]</f>
        <v>0</v>
      </c>
      <c r="Q115" s="87">
        <f t="shared" si="8"/>
        <v>0</v>
      </c>
      <c r="R115" s="482"/>
      <c r="S115" s="486"/>
      <c r="T115" s="466"/>
      <c r="U115" s="435"/>
      <c r="V115" s="467"/>
      <c r="W115" s="468"/>
      <c r="X115" s="436"/>
      <c r="Y115" s="470"/>
      <c r="Z115" s="469"/>
      <c r="AA115" s="449"/>
      <c r="AB115" s="437"/>
      <c r="AC115" s="438"/>
      <c r="AD115" s="439"/>
      <c r="AE115" s="440"/>
    </row>
    <row r="116" spans="2:32" ht="11.25" x14ac:dyDescent="0.2">
      <c r="AF116" s="30"/>
    </row>
    <row r="117" spans="2:32" ht="11.25" x14ac:dyDescent="0.2">
      <c r="AF117" s="30"/>
    </row>
    <row r="118" spans="2:32" ht="11.25" x14ac:dyDescent="0.2">
      <c r="AF118" s="30"/>
    </row>
    <row r="119" spans="2:32" ht="11.25" x14ac:dyDescent="0.2">
      <c r="AF119" s="30"/>
    </row>
    <row r="120" spans="2:32" ht="11.25" x14ac:dyDescent="0.2">
      <c r="AF120" s="30"/>
    </row>
    <row r="121" spans="2:32" ht="11.25" x14ac:dyDescent="0.2">
      <c r="AF121" s="30"/>
    </row>
    <row r="122" spans="2:32" ht="11.25" x14ac:dyDescent="0.2">
      <c r="AF122" s="30"/>
    </row>
    <row r="123" spans="2:32" ht="11.25" x14ac:dyDescent="0.2">
      <c r="AF123" s="30"/>
    </row>
    <row r="124" spans="2:32" ht="11.25" x14ac:dyDescent="0.2">
      <c r="AF124" s="30"/>
    </row>
    <row r="125" spans="2:32" ht="11.25" x14ac:dyDescent="0.2">
      <c r="AF125" s="30"/>
    </row>
    <row r="126" spans="2:32" ht="11.25" x14ac:dyDescent="0.2">
      <c r="AF126" s="30"/>
    </row>
    <row r="127" spans="2:32" ht="11.25" x14ac:dyDescent="0.2">
      <c r="AF127" s="30"/>
    </row>
    <row r="128" spans="2:32" ht="11.25" x14ac:dyDescent="0.2">
      <c r="AF128" s="30"/>
    </row>
    <row r="129" spans="32:32" ht="11.25" x14ac:dyDescent="0.2">
      <c r="AF129" s="30"/>
    </row>
    <row r="130" spans="32:32" ht="11.25" x14ac:dyDescent="0.2">
      <c r="AF130" s="30"/>
    </row>
    <row r="131" spans="32:32" ht="11.25" x14ac:dyDescent="0.2">
      <c r="AF131" s="30"/>
    </row>
    <row r="132" spans="32:32" ht="11.25" x14ac:dyDescent="0.2">
      <c r="AF132" s="30"/>
    </row>
    <row r="133" spans="32:32" ht="11.25" x14ac:dyDescent="0.2">
      <c r="AF133" s="30"/>
    </row>
    <row r="134" spans="32:32" ht="11.25" x14ac:dyDescent="0.2">
      <c r="AF134" s="30"/>
    </row>
    <row r="135" spans="32:32" ht="11.25" x14ac:dyDescent="0.2">
      <c r="AF135" s="30"/>
    </row>
    <row r="136" spans="32:32" ht="11.25" x14ac:dyDescent="0.2">
      <c r="AF136" s="30"/>
    </row>
    <row r="137" spans="32:32" ht="11.25" x14ac:dyDescent="0.2">
      <c r="AF137" s="30"/>
    </row>
    <row r="138" spans="32:32" ht="11.25" x14ac:dyDescent="0.2">
      <c r="AF138" s="30"/>
    </row>
    <row r="139" spans="32:32" ht="11.25" x14ac:dyDescent="0.2">
      <c r="AF139" s="30"/>
    </row>
    <row r="140" spans="32:32" ht="11.25" x14ac:dyDescent="0.2">
      <c r="AF140" s="30"/>
    </row>
    <row r="141" spans="32:32" ht="11.25" x14ac:dyDescent="0.2">
      <c r="AF141" s="30"/>
    </row>
    <row r="142" spans="32:32" ht="11.25" x14ac:dyDescent="0.2">
      <c r="AF142" s="30"/>
    </row>
  </sheetData>
  <sheetProtection algorithmName="SHA-512" hashValue="vL0uiJfGzcHsuUbk1dEYSFQh56sEJnJFL+fl8MW0EK1tswew32K8z9EcRkH0PQ9jR6MwKmYqkFbRnTbYnd3j8w==" saltValue="JUJfq7B15S6oIehJVMsjBg==" spinCount="100000" sheet="1" objects="1" scenarios="1"/>
  <mergeCells count="6">
    <mergeCell ref="Z2:AA2"/>
    <mergeCell ref="B3:C3"/>
    <mergeCell ref="B4:C4"/>
    <mergeCell ref="O4:P4"/>
    <mergeCell ref="D3:E3"/>
    <mergeCell ref="D4:E4"/>
  </mergeCells>
  <phoneticPr fontId="14" type="noConversion"/>
  <hyperlinks>
    <hyperlink ref="B12" r:id="rId1" xr:uid="{2EDC77B6-7E0E-47EB-9740-D2FC82D1AFBD}"/>
    <hyperlink ref="B13" r:id="rId2" xr:uid="{54E4E5C1-5005-495D-8721-69C8AB29C39C}"/>
    <hyperlink ref="B14" r:id="rId3" xr:uid="{F598A218-9F54-47AE-9AB2-266EA6B7C790}"/>
    <hyperlink ref="B15" r:id="rId4" xr:uid="{30678480-3DD9-4120-A683-64D726BD4D0A}"/>
    <hyperlink ref="B16" r:id="rId5" xr:uid="{84235A7D-6645-48D6-A0E3-4A9B6DDC9BF2}"/>
    <hyperlink ref="B17" r:id="rId6" xr:uid="{334C0EC7-4D16-4A05-8E11-C7337ACA4E1E}"/>
    <hyperlink ref="B18" r:id="rId7" xr:uid="{3FE030DB-0FB1-4D8E-965F-D344868A9F85}"/>
    <hyperlink ref="B19" r:id="rId8" xr:uid="{E92A9129-3951-4AF1-A869-6C9E2AC9A231}"/>
    <hyperlink ref="B20" r:id="rId9" xr:uid="{FE55429A-DCB5-41C1-A9D2-E661E9096A66}"/>
    <hyperlink ref="B21" r:id="rId10" xr:uid="{A1953FEA-C000-4A61-A09A-A5EAC27CF3BD}"/>
    <hyperlink ref="B22" r:id="rId11" xr:uid="{FA8E5845-324E-4790-8D14-AF52EEAD8FEE}"/>
    <hyperlink ref="B23" r:id="rId12" xr:uid="{05001962-D56C-41E0-B9B9-F1D8A4925851}"/>
    <hyperlink ref="B27" r:id="rId13" xr:uid="{5CC0D620-0CC6-4F8B-AADA-E9969D48E164}"/>
    <hyperlink ref="B28" r:id="rId14" xr:uid="{5429FE4B-E1D6-4198-8D92-7BA70625ECBD}"/>
    <hyperlink ref="B29" r:id="rId15" xr:uid="{9878AE35-F50C-412A-B358-FA27627CF5C8}"/>
    <hyperlink ref="B30" r:id="rId16" xr:uid="{975C0348-1022-4947-8833-77B4DD153326}"/>
    <hyperlink ref="B31" r:id="rId17" xr:uid="{7317C769-6BA8-44D8-9229-BFCF421CCBF4}"/>
    <hyperlink ref="B32" r:id="rId18" xr:uid="{87653198-1A51-403A-AE7F-9D007DF14764}"/>
    <hyperlink ref="B33" r:id="rId19" xr:uid="{4AC56C8D-9955-4154-895C-78F0BC507C52}"/>
    <hyperlink ref="B34" r:id="rId20" xr:uid="{BBD7534B-1DFE-48AC-ABAD-021B93237518}"/>
    <hyperlink ref="B35" r:id="rId21" xr:uid="{7738904E-3D80-4DB8-9E14-E78A974F12BB}"/>
    <hyperlink ref="B36" r:id="rId22" xr:uid="{D6A90FF0-3A24-4FB9-84B4-FAF4F3ADDD3C}"/>
    <hyperlink ref="B37" r:id="rId23" xr:uid="{BC717BCB-926F-46DE-A5A9-B7734C924E2C}"/>
    <hyperlink ref="B39" r:id="rId24" xr:uid="{B351B4CC-7987-4959-A146-6ABEBA13047C}"/>
    <hyperlink ref="B40" r:id="rId25" xr:uid="{30616747-9E06-4498-A685-F6DD4C353A2E}"/>
    <hyperlink ref="B41" r:id="rId26" xr:uid="{5530F72D-DC15-418C-BAAC-0C2147B46D94}"/>
    <hyperlink ref="B42" r:id="rId27" xr:uid="{094BE4F8-1E26-4436-B684-D4E84DFA9DBF}"/>
    <hyperlink ref="B43" r:id="rId28" xr:uid="{3F20170E-B144-4219-ADA5-D4D65528E439}"/>
    <hyperlink ref="B44" r:id="rId29" xr:uid="{34510E5C-26F4-41C6-B7CE-818EF3584315}"/>
    <hyperlink ref="B45" r:id="rId30" xr:uid="{5A94CE20-35E0-4870-BFAE-FC37D3E7E50B}"/>
    <hyperlink ref="B46" r:id="rId31" xr:uid="{FCDEFE44-80FA-4D63-B328-750A51616B4E}"/>
    <hyperlink ref="B51" r:id="rId32" xr:uid="{2720BD76-AB36-4BC0-94D0-6AB296E7D38C}"/>
    <hyperlink ref="B52" r:id="rId33" xr:uid="{E51AB8EE-0C5A-4DA0-AF5E-D1AB801E233C}"/>
    <hyperlink ref="B53" r:id="rId34" xr:uid="{8C8B8CA5-8FCA-44A5-AC2E-A522623F93D8}"/>
    <hyperlink ref="B55" r:id="rId35" xr:uid="{EC7E03C3-1703-4FB3-91EF-EDC320A7722D}"/>
    <hyperlink ref="B56" r:id="rId36" xr:uid="{DCE0B8F1-7D18-4548-AB19-2EC2A486606B}"/>
    <hyperlink ref="B58" r:id="rId37" xr:uid="{99CD2985-1A3F-4C09-BC90-0EE7CE46D6D3}"/>
    <hyperlink ref="B59:B66" r:id="rId38" display="Grisinni 1" xr:uid="{ACA24631-E6F6-49A0-ACD8-CF59FF1935BB}"/>
    <hyperlink ref="B59" r:id="rId39" xr:uid="{B3A55775-4543-4716-9A80-3233558EDDFC}"/>
    <hyperlink ref="B60" r:id="rId40" xr:uid="{BA05FD57-E303-4361-9818-DF43C991372C}"/>
    <hyperlink ref="B61" r:id="rId41" xr:uid="{4B082939-742C-4E20-9FBA-C9391AE8F34C}"/>
    <hyperlink ref="B62" r:id="rId42" xr:uid="{6A8D5F89-D18C-4183-802B-D888E2253CD7}"/>
    <hyperlink ref="B63" r:id="rId43" xr:uid="{4D591A98-9F33-4319-A2C3-F641F9BDB5F2}"/>
    <hyperlink ref="B64" r:id="rId44" xr:uid="{B2768741-47F4-4AB1-9AA5-02BB9D8B12D0}"/>
    <hyperlink ref="B65" r:id="rId45" xr:uid="{0ECA0CC3-3E49-4CE3-8BA8-641D9F6FC813}"/>
    <hyperlink ref="B66" r:id="rId46" xr:uid="{5FC5462A-2455-4C99-AF5F-488992E767F4}"/>
    <hyperlink ref="B67" r:id="rId47" xr:uid="{C46B4697-014E-4A9D-A406-F9B90EE29964}"/>
    <hyperlink ref="B24" r:id="rId48" xr:uid="{17A6F45C-AF59-4C36-8A14-0138028702D9}"/>
    <hyperlink ref="B25" r:id="rId49" xr:uid="{7F405C10-E512-4BED-B0BB-6D67EBDB2C8A}"/>
    <hyperlink ref="B69" r:id="rId50" xr:uid="{232F89C6-3D80-4186-982A-CCFA24962BD2}"/>
    <hyperlink ref="B70" r:id="rId51" xr:uid="{AA3E8C18-6D7F-42C9-8171-9F230E80B2EA}"/>
    <hyperlink ref="B71" r:id="rId52" xr:uid="{0B29E42E-BC66-43CA-977C-8C1A8C18A8CF}"/>
    <hyperlink ref="B72" r:id="rId53" xr:uid="{5D5C5332-F6A8-4B34-9DE3-F2B8A93B0784}"/>
    <hyperlink ref="B73" r:id="rId54" xr:uid="{1E123B08-C98A-4062-88E8-25072F909552}"/>
    <hyperlink ref="B74" r:id="rId55" xr:uid="{F3A98C27-FF6D-43C3-B1FE-53348992EBB0}"/>
    <hyperlink ref="B75" r:id="rId56" xr:uid="{83DE968B-D39E-4745-9027-A1F512C8D9E7}"/>
    <hyperlink ref="B76" r:id="rId57" xr:uid="{F85BEB1D-8141-44F7-B7C1-8BE13D32D246}"/>
    <hyperlink ref="B77" r:id="rId58" xr:uid="{DD4886B1-E4FE-48CD-9FB2-8F172F577906}"/>
    <hyperlink ref="B78" r:id="rId59" xr:uid="{E3FEF9B4-18A8-4359-B3FC-FC8FBBA5A81A}"/>
    <hyperlink ref="B79" r:id="rId60" xr:uid="{F1E6921A-60EA-432F-8B5A-33BB861A385C}"/>
    <hyperlink ref="B80" r:id="rId61" xr:uid="{C6C14001-85F5-439B-84EE-E38990864BEB}"/>
    <hyperlink ref="B81" r:id="rId62" xr:uid="{0F2F439B-7CD8-4370-AA55-DBC7A2E8D698}"/>
    <hyperlink ref="B82" r:id="rId63" xr:uid="{880387B5-381A-4080-978E-B74DABABAFE9}"/>
    <hyperlink ref="B85" r:id="rId64" display="Rabbit Holes 2" xr:uid="{9E92BEB3-524A-4B7C-9AA4-C9F89D1C0FD5}"/>
    <hyperlink ref="B86" r:id="rId65" display="Rabbit Holes 3" xr:uid="{90E90813-A8CB-4165-84B8-C642C1355916}"/>
    <hyperlink ref="B87" r:id="rId66" display="Rabbit Holes 4" xr:uid="{2DDED4E3-B3CA-4538-A671-F38A02BC5D0B}"/>
    <hyperlink ref="B88" r:id="rId67" display="Rabbit Holes 5" xr:uid="{7A0FF7C9-F44A-42B8-91FB-9F1C7263469C}"/>
    <hyperlink ref="B89" r:id="rId68" display="Rabbit Holes 6" xr:uid="{AA98A7BE-806B-4115-B35F-23E5300BEAE2}"/>
    <hyperlink ref="B90" r:id="rId69" display="Rabbit Holes 7" xr:uid="{590F7ED1-D7D3-4531-B4F2-6E4C40BB3105}"/>
    <hyperlink ref="B92" r:id="rId70" display="Rabbit Holes 8" xr:uid="{6B84F646-F905-4E5C-A097-E7C7BCADB1DB}"/>
    <hyperlink ref="B93" r:id="rId71" display="Rabbit Holes 9" xr:uid="{7C5CC075-8C34-42D5-ACB4-D7BADAF2A1DF}"/>
    <hyperlink ref="B95" r:id="rId72" display="Rabbit Holes 10" xr:uid="{A7E887C1-3560-47E4-9649-1199D0F99A80}"/>
    <hyperlink ref="B96" r:id="rId73" display="Rabbit Holes 11" xr:uid="{E6883819-F25A-4722-A228-F1CA276EF348}"/>
    <hyperlink ref="B98" r:id="rId74" display="Rabbit Holes 12" xr:uid="{B6AF4C8C-E8B8-4B32-892C-9F51F118CB4E}"/>
    <hyperlink ref="B99" r:id="rId75" display="Rabbit Holes 13" xr:uid="{BDA91A60-E6C4-4414-990C-AB51EF784FFC}"/>
    <hyperlink ref="B100" r:id="rId76" display="Rabbit Holes 14" xr:uid="{ACBA0B2B-DFBB-489D-A428-920496F1A90B}"/>
    <hyperlink ref="B102" r:id="rId77" xr:uid="{D2BE2C19-7A1C-47AF-825D-6D7232AB8EE6}"/>
    <hyperlink ref="B104" r:id="rId78" xr:uid="{A9600E33-19DD-4FE8-B408-00D7D6961D81}"/>
    <hyperlink ref="B106" r:id="rId79" xr:uid="{079E3743-20E1-4FC1-980A-BDCC07A1CD80}"/>
    <hyperlink ref="B108" r:id="rId80" xr:uid="{29F2ACD8-6AE3-4FEC-86F0-E78CF2D24351}"/>
    <hyperlink ref="B110" r:id="rId81" xr:uid="{5BDCCEE6-020E-4FFC-B2C7-FA302753FB77}"/>
    <hyperlink ref="B112" r:id="rId82" display="Rabbit Holes 1" xr:uid="{785EBEB7-BEDA-4842-8FB0-76E0E32324E1}"/>
    <hyperlink ref="B103" r:id="rId83" xr:uid="{B3584CD0-99BF-4400-94E9-403F4F9252A0}"/>
    <hyperlink ref="B105" r:id="rId84" xr:uid="{A3608D93-6549-4856-B78B-726923ED29F5}"/>
    <hyperlink ref="B107" r:id="rId85" xr:uid="{05EFEF6D-4FA0-4B92-8B11-777CD30D04CC}"/>
    <hyperlink ref="B109" r:id="rId86" xr:uid="{61465566-7DB3-44A4-A854-9F077B53F106}"/>
    <hyperlink ref="B111" r:id="rId87" xr:uid="{BFF197C0-BFC8-4D8C-B869-2497FF905EBB}"/>
    <hyperlink ref="B9" r:id="rId88" xr:uid="{56D76433-ABF9-4D5C-9DF3-9265235756DA}"/>
    <hyperlink ref="B10" r:id="rId89" xr:uid="{9B3906D4-2A67-4EEA-BF3A-396B52594CDE}"/>
    <hyperlink ref="B115" r:id="rId90" xr:uid="{F30979E8-6434-404E-B0E6-96F967FB3C3B}"/>
  </hyperlinks>
  <pageMargins left="0.7" right="0.7" top="0.75" bottom="0.75" header="0.3" footer="0.3"/>
  <pageSetup paperSize="9" scale="47" fitToHeight="0" orientation="portrait" r:id="rId91"/>
  <drawing r:id="rId92"/>
  <tableParts count="1">
    <tablePart r:id="rId9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748E2-64C1-4B8B-A810-4B112EBCFBCA}">
  <sheetPr codeName="List7">
    <tabColor theme="1" tint="4.9989318521683403E-2"/>
    <pageSetUpPr fitToPage="1"/>
  </sheetPr>
  <dimension ref="B1:AH161"/>
  <sheetViews>
    <sheetView showGridLines="0" zoomScale="132" zoomScaleNormal="100" zoomScaleSheetLayoutView="55" workbookViewId="0">
      <pane ySplit="7" topLeftCell="A60" activePane="bottomLeft" state="frozen"/>
      <selection pane="bottomLeft" activeCell="M61" sqref="M61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3.85546875" style="30" bestFit="1" customWidth="1"/>
    <col min="4" max="4" width="8.5703125" style="30" customWidth="1"/>
    <col min="5" max="5" width="12" style="30" customWidth="1"/>
    <col min="6" max="6" width="13" style="30" hidden="1" customWidth="1"/>
    <col min="7" max="7" width="6.85546875" style="30" hidden="1" customWidth="1"/>
    <col min="8" max="8" width="8.5703125" style="30" hidden="1" customWidth="1"/>
    <col min="9" max="9" width="10.5703125" style="30" hidden="1" customWidth="1"/>
    <col min="10" max="10" width="8.5703125" style="30" hidden="1" customWidth="1"/>
    <col min="11" max="12" width="10.5703125" style="30" hidden="1" customWidth="1"/>
    <col min="13" max="13" width="10.5703125" style="30" customWidth="1"/>
    <col min="14" max="14" width="8.5703125" style="30" customWidth="1"/>
    <col min="15" max="15" width="8" style="30" bestFit="1" customWidth="1"/>
    <col min="16" max="16" width="10.42578125" style="30" hidden="1" customWidth="1"/>
    <col min="17" max="24" width="8.5703125" style="30" customWidth="1"/>
    <col min="25" max="26" width="8.5703125" style="219" customWidth="1"/>
    <col min="27" max="27" width="8.5703125" style="30" hidden="1" customWidth="1"/>
    <col min="28" max="28" width="13.5703125" style="30" hidden="1" customWidth="1"/>
    <col min="29" max="29" width="8.5703125" style="30" customWidth="1"/>
    <col min="35" max="36" width="6.42578125" style="30" customWidth="1"/>
    <col min="37" max="38" width="7.5703125" style="30" bestFit="1" customWidth="1"/>
    <col min="39" max="39" width="11.5703125" style="30" customWidth="1"/>
    <col min="40" max="40" width="7.5703125" style="30" bestFit="1" customWidth="1"/>
    <col min="41" max="41" width="9.5703125" style="30" customWidth="1"/>
    <col min="42" max="16384" width="8.85546875" style="30"/>
  </cols>
  <sheetData>
    <row r="1" spans="2:34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AD1" s="30"/>
      <c r="AE1" s="30"/>
      <c r="AF1" s="30"/>
      <c r="AG1" s="30"/>
      <c r="AH1" s="30"/>
    </row>
    <row r="2" spans="2:34" ht="21" customHeight="1" thickBot="1" x14ac:dyDescent="0.25">
      <c r="B2" s="59"/>
      <c r="C2" s="58"/>
      <c r="D2" s="58"/>
      <c r="E2" s="58"/>
      <c r="F2" s="58"/>
      <c r="G2" s="58"/>
      <c r="H2" s="58"/>
      <c r="I2" s="162" t="s">
        <v>1371</v>
      </c>
      <c r="J2" s="163" t="s">
        <v>1342</v>
      </c>
      <c r="K2" s="58"/>
      <c r="L2" s="58"/>
      <c r="M2" s="58"/>
      <c r="N2" s="58"/>
      <c r="O2" s="58"/>
      <c r="AC2" s="58"/>
      <c r="AD2" s="30"/>
      <c r="AE2" s="30"/>
      <c r="AF2" s="30"/>
      <c r="AG2" s="30"/>
      <c r="AH2" s="30"/>
    </row>
    <row r="3" spans="2:34" ht="18" customHeight="1" thickBot="1" x14ac:dyDescent="0.3">
      <c r="C3" s="549" t="s">
        <v>0</v>
      </c>
      <c r="D3" s="550"/>
      <c r="E3" s="531">
        <f>SUM(N8:N75)</f>
        <v>0</v>
      </c>
      <c r="F3" s="574"/>
      <c r="G3" s="197"/>
      <c r="H3" s="197"/>
      <c r="I3" s="166">
        <f>SUM(L9:L71)</f>
        <v>0</v>
      </c>
      <c r="J3" s="167">
        <f>E3-I3</f>
        <v>0</v>
      </c>
    </row>
    <row r="4" spans="2:34" ht="18" customHeight="1" thickBot="1" x14ac:dyDescent="0.3">
      <c r="C4" s="547" t="s">
        <v>19</v>
      </c>
      <c r="D4" s="548"/>
      <c r="E4" s="575">
        <f>SUM(Q8:AA77)</f>
        <v>0</v>
      </c>
      <c r="F4" s="576"/>
      <c r="G4" s="197"/>
      <c r="N4" s="536" t="s">
        <v>1202</v>
      </c>
      <c r="O4" s="537"/>
      <c r="Q4" s="487">
        <f>SUM(Q8:Q75)</f>
        <v>0</v>
      </c>
      <c r="R4" s="472">
        <f>SUM(R8:R71)</f>
        <v>0</v>
      </c>
      <c r="S4" s="471">
        <f t="shared" ref="S4:Y4" si="0">SUM(S8:S71)</f>
        <v>0</v>
      </c>
      <c r="T4" s="443">
        <f t="shared" si="0"/>
        <v>0</v>
      </c>
      <c r="U4" s="473">
        <f t="shared" si="0"/>
        <v>0</v>
      </c>
      <c r="V4" s="474">
        <f t="shared" si="0"/>
        <v>0</v>
      </c>
      <c r="W4" s="446">
        <f t="shared" si="0"/>
        <v>0</v>
      </c>
      <c r="X4" s="475">
        <f t="shared" si="0"/>
        <v>0</v>
      </c>
      <c r="Y4" s="476">
        <f t="shared" si="0"/>
        <v>0</v>
      </c>
      <c r="Z4" s="450">
        <f>SUM(Z8:Z71)</f>
        <v>0</v>
      </c>
      <c r="AA4" s="198">
        <f>SUM(AA8:AA71)</f>
        <v>0</v>
      </c>
      <c r="AB4" s="169">
        <f>SUM(AB8:AB53)</f>
        <v>0</v>
      </c>
    </row>
    <row r="5" spans="2:34" ht="4.5" customHeight="1" thickBot="1" x14ac:dyDescent="0.3">
      <c r="C5" s="170"/>
      <c r="D5" s="170"/>
      <c r="E5" s="171"/>
      <c r="F5" s="171"/>
    </row>
    <row r="6" spans="2:34" ht="12" hidden="1" thickBot="1" x14ac:dyDescent="0.25">
      <c r="N6" s="32"/>
      <c r="Q6" s="33">
        <f t="shared" ref="Q6:Z6" si="1">SUM(Q8:Q71)</f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452">
        <f t="shared" si="1"/>
        <v>0</v>
      </c>
      <c r="Z6" s="452">
        <f t="shared" si="1"/>
        <v>0</v>
      </c>
      <c r="AA6" s="33">
        <f>SUM(AA8:AA53)</f>
        <v>0</v>
      </c>
      <c r="AB6" s="33">
        <f>SUM(AB8:AB53)</f>
        <v>0</v>
      </c>
      <c r="AD6" s="30"/>
      <c r="AE6" s="30"/>
      <c r="AF6" s="30"/>
      <c r="AG6" s="30"/>
      <c r="AH6" s="30"/>
    </row>
    <row r="7" spans="2:34" ht="36.6" customHeight="1" thickBot="1" x14ac:dyDescent="0.25">
      <c r="B7" s="26" t="s">
        <v>988</v>
      </c>
      <c r="C7" s="34" t="s">
        <v>86</v>
      </c>
      <c r="D7" s="199" t="s">
        <v>989</v>
      </c>
      <c r="E7" s="35" t="s">
        <v>13</v>
      </c>
      <c r="F7" s="35" t="s">
        <v>3</v>
      </c>
      <c r="G7" s="60" t="s">
        <v>237</v>
      </c>
      <c r="H7" s="485" t="s">
        <v>2064</v>
      </c>
      <c r="I7" s="173" t="s">
        <v>1373</v>
      </c>
      <c r="J7" s="173" t="s">
        <v>1374</v>
      </c>
      <c r="K7" s="173" t="s">
        <v>1371</v>
      </c>
      <c r="L7" s="160" t="s">
        <v>1372</v>
      </c>
      <c r="M7" s="491" t="s">
        <v>2069</v>
      </c>
      <c r="N7" s="65" t="s">
        <v>85</v>
      </c>
      <c r="O7" s="66" t="s">
        <v>1407</v>
      </c>
      <c r="P7" s="66" t="s">
        <v>11</v>
      </c>
      <c r="Q7" s="61" t="s">
        <v>657</v>
      </c>
      <c r="R7" s="27" t="s">
        <v>84</v>
      </c>
      <c r="S7" s="27" t="s">
        <v>14</v>
      </c>
      <c r="T7" s="28" t="s">
        <v>926</v>
      </c>
      <c r="U7" s="28" t="s">
        <v>5</v>
      </c>
      <c r="V7" s="27" t="s">
        <v>6</v>
      </c>
      <c r="W7" s="27" t="s">
        <v>7</v>
      </c>
      <c r="X7" s="27" t="s">
        <v>927</v>
      </c>
      <c r="Y7" s="28" t="s">
        <v>198</v>
      </c>
      <c r="Z7" s="28" t="s">
        <v>8</v>
      </c>
      <c r="AA7" s="200" t="s">
        <v>821</v>
      </c>
      <c r="AB7" s="174" t="s">
        <v>1276</v>
      </c>
      <c r="AD7" s="30"/>
      <c r="AE7" s="30"/>
      <c r="AF7" s="30"/>
      <c r="AG7" s="30"/>
      <c r="AH7" s="30"/>
    </row>
    <row r="8" spans="2:34" ht="12" customHeight="1" thickBot="1" x14ac:dyDescent="0.25">
      <c r="B8" s="122" t="s">
        <v>661</v>
      </c>
      <c r="C8" s="125" t="s">
        <v>1131</v>
      </c>
      <c r="D8" s="123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40"/>
      <c r="Q8" s="201"/>
      <c r="R8" s="201"/>
      <c r="S8" s="201"/>
      <c r="T8" s="201"/>
      <c r="U8" s="201"/>
      <c r="V8" s="201"/>
      <c r="W8" s="201"/>
      <c r="X8" s="201"/>
      <c r="Y8" s="456"/>
      <c r="Z8" s="453"/>
      <c r="AA8" s="202"/>
      <c r="AB8" s="203"/>
      <c r="AD8" s="30"/>
      <c r="AE8" s="30"/>
      <c r="AF8" s="30"/>
      <c r="AG8" s="30"/>
      <c r="AH8" s="30"/>
    </row>
    <row r="9" spans="2:34" ht="12" customHeight="1" thickBot="1" x14ac:dyDescent="0.25">
      <c r="B9" s="45" t="s">
        <v>679</v>
      </c>
      <c r="C9" s="94" t="s">
        <v>662</v>
      </c>
      <c r="D9" s="204" t="s">
        <v>1138</v>
      </c>
      <c r="E9" s="48" t="s">
        <v>698</v>
      </c>
      <c r="F9" s="47">
        <v>0.69</v>
      </c>
      <c r="G9" s="224">
        <v>42</v>
      </c>
      <c r="H9" s="224">
        <f>ROUNDUP(Tabela17[[#This Row],[PRICE]]*(1+PRICES!$C$7),0)</f>
        <v>51</v>
      </c>
      <c r="I9" s="175">
        <v>0.15</v>
      </c>
      <c r="J9" s="79">
        <f>Tabela17[[#This Row],[PRICE]]*Tabela17[[#This Row],[DISCOUNT per piece '[%']]]</f>
        <v>6.3</v>
      </c>
      <c r="K9" s="79">
        <f>Tabela17[[#This Row],[PRICE]]*(1-Tabela17[[#This Row],[DISCOUNT per piece '[%']]])</f>
        <v>35.699999999999996</v>
      </c>
      <c r="L9" s="176">
        <f>Tabela17[[#This Row],[PCS]]*Tabela17[[#This Row],[PROMOTIONAL PRICE]]</f>
        <v>0</v>
      </c>
      <c r="M9" s="497" cm="1">
        <f t="array" ref="M9">ROUNDUP(Tabela17[[#This Row],[NEW PRICE]]*eurofxref_daily[],2)</f>
        <v>82.050000000000011</v>
      </c>
      <c r="N9" s="506">
        <f>Tabela17[[#This Row],[CAD PRICE]]*O9</f>
        <v>0</v>
      </c>
      <c r="O9" s="62">
        <f>SUM(Tabela17[[#This Row],[RAL 1023]:[Custom made colour (7% add price)]])</f>
        <v>0</v>
      </c>
      <c r="P9" s="62">
        <f>Tabela17[[#This Row],[PCS]]*Tabela17[[#This Row],[Weight (kg)]]</f>
        <v>0</v>
      </c>
      <c r="Q9" s="481"/>
      <c r="R9" s="486"/>
      <c r="S9" s="466"/>
      <c r="T9" s="435"/>
      <c r="U9" s="467"/>
      <c r="V9" s="468"/>
      <c r="W9" s="436"/>
      <c r="X9" s="470"/>
      <c r="Y9" s="469"/>
      <c r="Z9" s="449"/>
      <c r="AA9" s="82"/>
      <c r="AB9" s="205"/>
      <c r="AD9" s="30"/>
      <c r="AE9" s="30"/>
      <c r="AF9" s="30"/>
      <c r="AG9" s="30"/>
      <c r="AH9" s="30"/>
    </row>
    <row r="10" spans="2:34" ht="12" customHeight="1" thickBot="1" x14ac:dyDescent="0.25">
      <c r="B10" s="29" t="s">
        <v>680</v>
      </c>
      <c r="C10" s="92" t="s">
        <v>947</v>
      </c>
      <c r="D10" s="204" t="s">
        <v>1139</v>
      </c>
      <c r="E10" s="78" t="s">
        <v>699</v>
      </c>
      <c r="F10" s="77">
        <v>0.89</v>
      </c>
      <c r="G10" s="224">
        <v>47</v>
      </c>
      <c r="H10" s="224">
        <f>ROUNDUP(Tabela17[[#This Row],[PRICE]]*(1+PRICES!$C$7),0)</f>
        <v>57</v>
      </c>
      <c r="I10" s="175">
        <v>0.15</v>
      </c>
      <c r="J10" s="79">
        <f>Tabela17[[#This Row],[PRICE]]*Tabela17[[#This Row],[DISCOUNT per piece '[%']]]</f>
        <v>7.05</v>
      </c>
      <c r="K10" s="79">
        <f>Tabela17[[#This Row],[PRICE]]*(1-Tabela17[[#This Row],[DISCOUNT per piece '[%']]])</f>
        <v>39.949999999999996</v>
      </c>
      <c r="L10" s="176">
        <f>Tabela17[[#This Row],[PCS]]*Tabela17[[#This Row],[PROMOTIONAL PRICE]]</f>
        <v>0</v>
      </c>
      <c r="M10" s="497" cm="1">
        <f t="array" ref="M10">ROUNDUP(Tabela17[[#This Row],[NEW PRICE]]*eurofxref_daily[],2)</f>
        <v>91.710000000000008</v>
      </c>
      <c r="N10" s="506">
        <f>Tabela17[[#This Row],[CAD PRICE]]*O10</f>
        <v>0</v>
      </c>
      <c r="O10" s="62">
        <f>SUM(Tabela17[[#This Row],[RAL 1023]:[Custom made colour (7% add price)]])</f>
        <v>0</v>
      </c>
      <c r="P10" s="62">
        <f>Tabela17[[#This Row],[PCS]]*Tabela17[[#This Row],[Weight (kg)]]</f>
        <v>0</v>
      </c>
      <c r="Q10" s="481"/>
      <c r="R10" s="486"/>
      <c r="S10" s="466"/>
      <c r="T10" s="435"/>
      <c r="U10" s="467"/>
      <c r="V10" s="468"/>
      <c r="W10" s="436"/>
      <c r="X10" s="470"/>
      <c r="Y10" s="469"/>
      <c r="Z10" s="449"/>
      <c r="AA10" s="82"/>
      <c r="AB10" s="206"/>
      <c r="AD10" s="30"/>
      <c r="AE10" s="30"/>
      <c r="AF10" s="30"/>
      <c r="AG10" s="30"/>
      <c r="AH10" s="30"/>
    </row>
    <row r="11" spans="2:34" ht="12" customHeight="1" thickBot="1" x14ac:dyDescent="0.25">
      <c r="B11" s="45" t="s">
        <v>681</v>
      </c>
      <c r="C11" s="92" t="s">
        <v>948</v>
      </c>
      <c r="D11" s="204" t="s">
        <v>1140</v>
      </c>
      <c r="E11" s="48" t="s">
        <v>700</v>
      </c>
      <c r="F11" s="47">
        <v>1.17</v>
      </c>
      <c r="G11" s="224">
        <v>57</v>
      </c>
      <c r="H11" s="224">
        <f>ROUNDUP(Tabela17[[#This Row],[PRICE]]*(1+PRICES!$C$7),0)</f>
        <v>69</v>
      </c>
      <c r="I11" s="175">
        <v>0.15</v>
      </c>
      <c r="J11" s="49">
        <f>Tabela17[[#This Row],[PRICE]]*Tabela17[[#This Row],[DISCOUNT per piece '[%']]]</f>
        <v>8.5499999999999989</v>
      </c>
      <c r="K11" s="49">
        <f>Tabela17[[#This Row],[PRICE]]*(1-Tabela17[[#This Row],[DISCOUNT per piece '[%']]])</f>
        <v>48.449999999999996</v>
      </c>
      <c r="L11" s="178">
        <f>Tabela17[[#This Row],[PCS]]*Tabela17[[#This Row],[PROMOTIONAL PRICE]]</f>
        <v>0</v>
      </c>
      <c r="M11" s="497" cm="1">
        <f t="array" ref="M11">ROUNDUP(Tabela17[[#This Row],[NEW PRICE]]*eurofxref_daily[],2)</f>
        <v>111.01</v>
      </c>
      <c r="N11" s="506">
        <f>Tabela17[[#This Row],[CAD PRICE]]*O11</f>
        <v>0</v>
      </c>
      <c r="O11" s="62">
        <f>SUM(Tabela17[[#This Row],[RAL 1023]:[Custom made colour (7% add price)]])</f>
        <v>0</v>
      </c>
      <c r="P11" s="62">
        <f>Tabela17[[#This Row],[PCS]]*Tabela17[[#This Row],[Weight (kg)]]</f>
        <v>0</v>
      </c>
      <c r="Q11" s="481"/>
      <c r="R11" s="486"/>
      <c r="S11" s="466"/>
      <c r="T11" s="435"/>
      <c r="U11" s="467"/>
      <c r="V11" s="468"/>
      <c r="W11" s="436"/>
      <c r="X11" s="470"/>
      <c r="Y11" s="469"/>
      <c r="Z11" s="449"/>
      <c r="AA11" s="83"/>
      <c r="AB11" s="206"/>
      <c r="AD11" s="30"/>
      <c r="AE11" s="30"/>
      <c r="AF11" s="30"/>
      <c r="AG11" s="30"/>
      <c r="AH11" s="30"/>
    </row>
    <row r="12" spans="2:34" ht="12" customHeight="1" thickBot="1" x14ac:dyDescent="0.25">
      <c r="B12" s="29" t="s">
        <v>682</v>
      </c>
      <c r="C12" s="92" t="s">
        <v>663</v>
      </c>
      <c r="D12" s="204" t="s">
        <v>1141</v>
      </c>
      <c r="E12" s="78" t="s">
        <v>700</v>
      </c>
      <c r="F12" s="77">
        <v>1.23</v>
      </c>
      <c r="G12" s="224">
        <v>57</v>
      </c>
      <c r="H12" s="224">
        <f>ROUNDUP(Tabela17[[#This Row],[PRICE]]*(1+PRICES!$C$7),0)</f>
        <v>69</v>
      </c>
      <c r="I12" s="175">
        <v>0.15</v>
      </c>
      <c r="J12" s="79">
        <f>Tabela17[[#This Row],[PRICE]]*Tabela17[[#This Row],[DISCOUNT per piece '[%']]]</f>
        <v>8.5499999999999989</v>
      </c>
      <c r="K12" s="79">
        <f>Tabela17[[#This Row],[PRICE]]*(1-Tabela17[[#This Row],[DISCOUNT per piece '[%']]])</f>
        <v>48.449999999999996</v>
      </c>
      <c r="L12" s="176">
        <f>Tabela17[[#This Row],[PCS]]*Tabela17[[#This Row],[PROMOTIONAL PRICE]]</f>
        <v>0</v>
      </c>
      <c r="M12" s="497" cm="1">
        <f t="array" ref="M12">ROUNDUP(Tabela17[[#This Row],[NEW PRICE]]*eurofxref_daily[],2)</f>
        <v>111.01</v>
      </c>
      <c r="N12" s="506">
        <f>Tabela17[[#This Row],[CAD PRICE]]*O12</f>
        <v>0</v>
      </c>
      <c r="O12" s="62">
        <f>SUM(Tabela17[[#This Row],[RAL 1023]:[Custom made colour (7% add price)]])</f>
        <v>0</v>
      </c>
      <c r="P12" s="62">
        <f>Tabela17[[#This Row],[PCS]]*Tabela17[[#This Row],[Weight (kg)]]</f>
        <v>0</v>
      </c>
      <c r="Q12" s="481"/>
      <c r="R12" s="486"/>
      <c r="S12" s="466"/>
      <c r="T12" s="435"/>
      <c r="U12" s="467"/>
      <c r="V12" s="468"/>
      <c r="W12" s="436"/>
      <c r="X12" s="470"/>
      <c r="Y12" s="469"/>
      <c r="Z12" s="449"/>
      <c r="AA12" s="83"/>
      <c r="AB12" s="206"/>
      <c r="AD12" s="30"/>
      <c r="AE12" s="30"/>
      <c r="AF12" s="30"/>
      <c r="AG12" s="30"/>
      <c r="AH12" s="30"/>
    </row>
    <row r="13" spans="2:34" ht="12" customHeight="1" thickBot="1" x14ac:dyDescent="0.25">
      <c r="B13" s="45" t="s">
        <v>683</v>
      </c>
      <c r="C13" s="92" t="s">
        <v>664</v>
      </c>
      <c r="D13" s="204" t="s">
        <v>1142</v>
      </c>
      <c r="E13" s="48" t="s">
        <v>701</v>
      </c>
      <c r="F13" s="47">
        <v>2.0099999999999998</v>
      </c>
      <c r="G13" s="224">
        <v>73</v>
      </c>
      <c r="H13" s="224">
        <f>ROUNDUP(Tabela17[[#This Row],[PRICE]]*(1+PRICES!$C$7),0)</f>
        <v>88</v>
      </c>
      <c r="I13" s="175">
        <v>0.15</v>
      </c>
      <c r="J13" s="49">
        <f>Tabela17[[#This Row],[PRICE]]*Tabela17[[#This Row],[DISCOUNT per piece '[%']]]</f>
        <v>10.95</v>
      </c>
      <c r="K13" s="49">
        <f>Tabela17[[#This Row],[PRICE]]*(1-Tabela17[[#This Row],[DISCOUNT per piece '[%']]])</f>
        <v>62.05</v>
      </c>
      <c r="L13" s="178">
        <f>Tabela17[[#This Row],[PCS]]*Tabela17[[#This Row],[PROMOTIONAL PRICE]]</f>
        <v>0</v>
      </c>
      <c r="M13" s="497" cm="1">
        <f t="array" ref="M13">ROUNDUP(Tabela17[[#This Row],[NEW PRICE]]*eurofxref_daily[],2)</f>
        <v>141.57999999999998</v>
      </c>
      <c r="N13" s="506">
        <f>Tabela17[[#This Row],[CAD PRICE]]*O13</f>
        <v>0</v>
      </c>
      <c r="O13" s="62">
        <f>SUM(Tabela17[[#This Row],[RAL 1023]:[Custom made colour (7% add price)]])</f>
        <v>0</v>
      </c>
      <c r="P13" s="62">
        <f>Tabela17[[#This Row],[PCS]]*Tabela17[[#This Row],[Weight (kg)]]</f>
        <v>0</v>
      </c>
      <c r="Q13" s="481"/>
      <c r="R13" s="486"/>
      <c r="S13" s="466"/>
      <c r="T13" s="435"/>
      <c r="U13" s="467"/>
      <c r="V13" s="468"/>
      <c r="W13" s="436"/>
      <c r="X13" s="470"/>
      <c r="Y13" s="469"/>
      <c r="Z13" s="449"/>
      <c r="AA13" s="83"/>
      <c r="AB13" s="206"/>
      <c r="AD13" s="30"/>
      <c r="AE13" s="30"/>
      <c r="AF13" s="30"/>
      <c r="AG13" s="30"/>
      <c r="AH13" s="30"/>
    </row>
    <row r="14" spans="2:34" ht="12" customHeight="1" thickBot="1" x14ac:dyDescent="0.25">
      <c r="B14" s="29" t="s">
        <v>684</v>
      </c>
      <c r="C14" s="92" t="s">
        <v>665</v>
      </c>
      <c r="D14" s="204" t="s">
        <v>1143</v>
      </c>
      <c r="E14" s="48" t="s">
        <v>702</v>
      </c>
      <c r="F14" s="47">
        <v>2.42</v>
      </c>
      <c r="G14" s="224">
        <v>79</v>
      </c>
      <c r="H14" s="224">
        <f>ROUNDUP(Tabela17[[#This Row],[PRICE]]*(1+PRICES!$C$7),0)</f>
        <v>95</v>
      </c>
      <c r="I14" s="175">
        <v>0.15</v>
      </c>
      <c r="J14" s="49">
        <f>Tabela17[[#This Row],[PRICE]]*Tabela17[[#This Row],[DISCOUNT per piece '[%']]]</f>
        <v>11.85</v>
      </c>
      <c r="K14" s="49">
        <f>Tabela17[[#This Row],[PRICE]]*(1-Tabela17[[#This Row],[DISCOUNT per piece '[%']]])</f>
        <v>67.149999999999991</v>
      </c>
      <c r="L14" s="178">
        <f>Tabela17[[#This Row],[PCS]]*Tabela17[[#This Row],[PROMOTIONAL PRICE]]</f>
        <v>0</v>
      </c>
      <c r="M14" s="497" cm="1">
        <f t="array" ref="M14">ROUNDUP(Tabela17[[#This Row],[NEW PRICE]]*eurofxref_daily[],2)</f>
        <v>152.84</v>
      </c>
      <c r="N14" s="506">
        <f>Tabela17[[#This Row],[CAD PRICE]]*O14</f>
        <v>0</v>
      </c>
      <c r="O14" s="62">
        <f>SUM(Tabela17[[#This Row],[RAL 1023]:[Custom made colour (7% add price)]])</f>
        <v>0</v>
      </c>
      <c r="P14" s="62">
        <f>Tabela17[[#This Row],[PCS]]*Tabela17[[#This Row],[Weight (kg)]]</f>
        <v>0</v>
      </c>
      <c r="Q14" s="481"/>
      <c r="R14" s="486"/>
      <c r="S14" s="466"/>
      <c r="T14" s="435"/>
      <c r="U14" s="467"/>
      <c r="V14" s="468"/>
      <c r="W14" s="436"/>
      <c r="X14" s="470"/>
      <c r="Y14" s="469"/>
      <c r="Z14" s="449"/>
      <c r="AA14" s="83"/>
      <c r="AB14" s="206"/>
      <c r="AD14" s="30"/>
      <c r="AE14" s="30"/>
      <c r="AF14" s="30"/>
      <c r="AG14" s="30"/>
      <c r="AH14" s="30"/>
    </row>
    <row r="15" spans="2:34" ht="12" customHeight="1" thickBot="1" x14ac:dyDescent="0.25">
      <c r="B15" s="29" t="s">
        <v>685</v>
      </c>
      <c r="C15" s="92" t="s">
        <v>666</v>
      </c>
      <c r="D15" s="204" t="s">
        <v>1144</v>
      </c>
      <c r="E15" s="48" t="s">
        <v>703</v>
      </c>
      <c r="F15" s="47">
        <v>3.57</v>
      </c>
      <c r="G15" s="224">
        <v>105</v>
      </c>
      <c r="H15" s="224">
        <f>ROUNDUP(Tabela17[[#This Row],[PRICE]]*(1+PRICES!$C$7),0)</f>
        <v>126</v>
      </c>
      <c r="I15" s="175">
        <v>0.15</v>
      </c>
      <c r="J15" s="49">
        <f>Tabela17[[#This Row],[PRICE]]*Tabela17[[#This Row],[DISCOUNT per piece '[%']]]</f>
        <v>15.75</v>
      </c>
      <c r="K15" s="49">
        <f>Tabela17[[#This Row],[PRICE]]*(1-Tabela17[[#This Row],[DISCOUNT per piece '[%']]])</f>
        <v>89.25</v>
      </c>
      <c r="L15" s="178">
        <f>Tabela17[[#This Row],[PCS]]*Tabela17[[#This Row],[PROMOTIONAL PRICE]]</f>
        <v>0</v>
      </c>
      <c r="M15" s="497" cm="1">
        <f t="array" ref="M15">ROUNDUP(Tabela17[[#This Row],[NEW PRICE]]*eurofxref_daily[],2)</f>
        <v>202.70999999999998</v>
      </c>
      <c r="N15" s="506">
        <f>Tabela17[[#This Row],[CAD PRICE]]*O15</f>
        <v>0</v>
      </c>
      <c r="O15" s="62">
        <f>SUM(Tabela17[[#This Row],[RAL 1023]:[Custom made colour (7% add price)]])</f>
        <v>0</v>
      </c>
      <c r="P15" s="62">
        <f>Tabela17[[#This Row],[PCS]]*Tabela17[[#This Row],[Weight (kg)]]</f>
        <v>0</v>
      </c>
      <c r="Q15" s="481"/>
      <c r="R15" s="486"/>
      <c r="S15" s="466"/>
      <c r="T15" s="435"/>
      <c r="U15" s="467"/>
      <c r="V15" s="468"/>
      <c r="W15" s="436"/>
      <c r="X15" s="470"/>
      <c r="Y15" s="469"/>
      <c r="Z15" s="449"/>
      <c r="AA15" s="83"/>
      <c r="AB15" s="206"/>
      <c r="AD15" s="30"/>
      <c r="AE15" s="30"/>
      <c r="AF15" s="30"/>
      <c r="AG15" s="30"/>
      <c r="AH15" s="30"/>
    </row>
    <row r="16" spans="2:34" ht="12" customHeight="1" thickBot="1" x14ac:dyDescent="0.25">
      <c r="B16" s="29" t="s">
        <v>686</v>
      </c>
      <c r="C16" s="92" t="s">
        <v>667</v>
      </c>
      <c r="D16" s="204" t="s">
        <v>1145</v>
      </c>
      <c r="E16" s="48" t="s">
        <v>704</v>
      </c>
      <c r="F16" s="47">
        <v>4.66</v>
      </c>
      <c r="G16" s="224">
        <v>105</v>
      </c>
      <c r="H16" s="224">
        <f>ROUNDUP(Tabela17[[#This Row],[PRICE]]*(1+PRICES!$C$7),0)</f>
        <v>126</v>
      </c>
      <c r="I16" s="175">
        <v>0.15</v>
      </c>
      <c r="J16" s="49">
        <f>Tabela17[[#This Row],[PRICE]]*Tabela17[[#This Row],[DISCOUNT per piece '[%']]]</f>
        <v>15.75</v>
      </c>
      <c r="K16" s="49">
        <f>Tabela17[[#This Row],[PRICE]]*(1-Tabela17[[#This Row],[DISCOUNT per piece '[%']]])</f>
        <v>89.25</v>
      </c>
      <c r="L16" s="178">
        <f>Tabela17[[#This Row],[PCS]]*Tabela17[[#This Row],[PROMOTIONAL PRICE]]</f>
        <v>0</v>
      </c>
      <c r="M16" s="497" cm="1">
        <f t="array" ref="M16">ROUNDUP(Tabela17[[#This Row],[NEW PRICE]]*eurofxref_daily[],2)</f>
        <v>202.70999999999998</v>
      </c>
      <c r="N16" s="506">
        <f>Tabela17[[#This Row],[CAD PRICE]]*O16</f>
        <v>0</v>
      </c>
      <c r="O16" s="62">
        <f>SUM(Tabela17[[#This Row],[RAL 1023]:[Custom made colour (7% add price)]])</f>
        <v>0</v>
      </c>
      <c r="P16" s="62">
        <f>Tabela17[[#This Row],[PCS]]*Tabela17[[#This Row],[Weight (kg)]]</f>
        <v>0</v>
      </c>
      <c r="Q16" s="481"/>
      <c r="R16" s="486"/>
      <c r="S16" s="466"/>
      <c r="T16" s="435"/>
      <c r="U16" s="467"/>
      <c r="V16" s="468"/>
      <c r="W16" s="436"/>
      <c r="X16" s="470"/>
      <c r="Y16" s="469"/>
      <c r="Z16" s="449"/>
      <c r="AA16" s="83"/>
      <c r="AB16" s="206"/>
      <c r="AD16" s="30"/>
      <c r="AE16" s="30"/>
      <c r="AF16" s="30"/>
      <c r="AG16" s="30"/>
      <c r="AH16" s="30"/>
    </row>
    <row r="17" spans="2:34" ht="12" customHeight="1" thickBot="1" x14ac:dyDescent="0.25">
      <c r="B17" s="29" t="s">
        <v>687</v>
      </c>
      <c r="C17" s="92" t="s">
        <v>668</v>
      </c>
      <c r="D17" s="204" t="s">
        <v>1146</v>
      </c>
      <c r="E17" s="48" t="s">
        <v>705</v>
      </c>
      <c r="F17" s="47">
        <v>8.0399999999999991</v>
      </c>
      <c r="G17" s="224">
        <v>165</v>
      </c>
      <c r="H17" s="224">
        <f>ROUNDUP(Tabela17[[#This Row],[PRICE]]*(1+PRICES!$C$7),0)</f>
        <v>198</v>
      </c>
      <c r="I17" s="175">
        <v>0.15</v>
      </c>
      <c r="J17" s="49">
        <f>Tabela17[[#This Row],[PRICE]]*Tabela17[[#This Row],[DISCOUNT per piece '[%']]]</f>
        <v>24.75</v>
      </c>
      <c r="K17" s="49">
        <f>Tabela17[[#This Row],[PRICE]]*(1-Tabela17[[#This Row],[DISCOUNT per piece '[%']]])</f>
        <v>140.25</v>
      </c>
      <c r="L17" s="178">
        <f>Tabela17[[#This Row],[PCS]]*Tabela17[[#This Row],[PROMOTIONAL PRICE]]</f>
        <v>0</v>
      </c>
      <c r="M17" s="497" cm="1">
        <f t="array" ref="M17">ROUNDUP(Tabela17[[#This Row],[NEW PRICE]]*eurofxref_daily[],2)</f>
        <v>318.55</v>
      </c>
      <c r="N17" s="506">
        <f>Tabela17[[#This Row],[CAD PRICE]]*O17</f>
        <v>0</v>
      </c>
      <c r="O17" s="62">
        <f>SUM(Tabela17[[#This Row],[RAL 1023]:[Custom made colour (7% add price)]])</f>
        <v>0</v>
      </c>
      <c r="P17" s="62">
        <f>Tabela17[[#This Row],[PCS]]*Tabela17[[#This Row],[Weight (kg)]]</f>
        <v>0</v>
      </c>
      <c r="Q17" s="481"/>
      <c r="R17" s="486"/>
      <c r="S17" s="466"/>
      <c r="T17" s="435"/>
      <c r="U17" s="467"/>
      <c r="V17" s="468"/>
      <c r="W17" s="436"/>
      <c r="X17" s="470"/>
      <c r="Y17" s="469"/>
      <c r="Z17" s="449"/>
      <c r="AA17" s="83"/>
      <c r="AB17" s="206"/>
      <c r="AD17" s="30"/>
      <c r="AE17" s="30"/>
      <c r="AF17" s="30"/>
      <c r="AG17" s="30"/>
      <c r="AH17" s="30"/>
    </row>
    <row r="18" spans="2:34" ht="12" customHeight="1" thickBot="1" x14ac:dyDescent="0.25">
      <c r="B18" s="29" t="s">
        <v>688</v>
      </c>
      <c r="C18" s="92" t="s">
        <v>669</v>
      </c>
      <c r="D18" s="204" t="s">
        <v>1147</v>
      </c>
      <c r="E18" s="48" t="s">
        <v>706</v>
      </c>
      <c r="F18" s="47">
        <v>7.73</v>
      </c>
      <c r="G18" s="224">
        <v>203</v>
      </c>
      <c r="H18" s="224">
        <f>ROUNDUP(Tabela17[[#This Row],[PRICE]]*(1+PRICES!$C$7),0)</f>
        <v>244</v>
      </c>
      <c r="I18" s="175">
        <v>0.15</v>
      </c>
      <c r="J18" s="49">
        <f>Tabela17[[#This Row],[PRICE]]*Tabela17[[#This Row],[DISCOUNT per piece '[%']]]</f>
        <v>30.45</v>
      </c>
      <c r="K18" s="49">
        <f>Tabela17[[#This Row],[PRICE]]*(1-Tabela17[[#This Row],[DISCOUNT per piece '[%']]])</f>
        <v>172.54999999999998</v>
      </c>
      <c r="L18" s="178">
        <f>Tabela17[[#This Row],[PCS]]*Tabela17[[#This Row],[PROMOTIONAL PRICE]]</f>
        <v>0</v>
      </c>
      <c r="M18" s="497" cm="1">
        <f t="array" ref="M18">ROUNDUP(Tabela17[[#This Row],[NEW PRICE]]*eurofxref_daily[],2)</f>
        <v>392.55</v>
      </c>
      <c r="N18" s="506">
        <f>Tabela17[[#This Row],[CAD PRICE]]*O18</f>
        <v>0</v>
      </c>
      <c r="O18" s="62">
        <f>SUM(Tabela17[[#This Row],[RAL 1023]:[Custom made colour (7% add price)]])</f>
        <v>0</v>
      </c>
      <c r="P18" s="62">
        <f>Tabela17[[#This Row],[PCS]]*Tabela17[[#This Row],[Weight (kg)]]</f>
        <v>0</v>
      </c>
      <c r="Q18" s="481"/>
      <c r="R18" s="486"/>
      <c r="S18" s="466"/>
      <c r="T18" s="435"/>
      <c r="U18" s="467"/>
      <c r="V18" s="468"/>
      <c r="W18" s="436"/>
      <c r="X18" s="470"/>
      <c r="Y18" s="469"/>
      <c r="Z18" s="449"/>
      <c r="AA18" s="83"/>
      <c r="AB18" s="206"/>
      <c r="AD18" s="30"/>
      <c r="AE18" s="30"/>
      <c r="AF18" s="30"/>
      <c r="AG18" s="30"/>
      <c r="AH18" s="30"/>
    </row>
    <row r="19" spans="2:34" ht="12" customHeight="1" thickBot="1" x14ac:dyDescent="0.25">
      <c r="B19" s="29" t="s">
        <v>689</v>
      </c>
      <c r="C19" s="92" t="s">
        <v>670</v>
      </c>
      <c r="D19" s="204" t="s">
        <v>1148</v>
      </c>
      <c r="E19" s="48" t="s">
        <v>707</v>
      </c>
      <c r="F19" s="47">
        <v>7.34</v>
      </c>
      <c r="G19" s="224">
        <v>208</v>
      </c>
      <c r="H19" s="224">
        <f>ROUNDUP(Tabela17[[#This Row],[PRICE]]*(1+PRICES!$C$7),0)</f>
        <v>250</v>
      </c>
      <c r="I19" s="175">
        <v>0.15</v>
      </c>
      <c r="J19" s="49">
        <f>Tabela17[[#This Row],[PRICE]]*Tabela17[[#This Row],[DISCOUNT per piece '[%']]]</f>
        <v>31.2</v>
      </c>
      <c r="K19" s="49">
        <f>Tabela17[[#This Row],[PRICE]]*(1-Tabela17[[#This Row],[DISCOUNT per piece '[%']]])</f>
        <v>176.79999999999998</v>
      </c>
      <c r="L19" s="178">
        <f>Tabela17[[#This Row],[PCS]]*Tabela17[[#This Row],[PROMOTIONAL PRICE]]</f>
        <v>0</v>
      </c>
      <c r="M19" s="497" cm="1">
        <f t="array" ref="M19">ROUNDUP(Tabela17[[#This Row],[NEW PRICE]]*eurofxref_daily[],2)</f>
        <v>402.2</v>
      </c>
      <c r="N19" s="506">
        <f>Tabela17[[#This Row],[CAD PRICE]]*O19</f>
        <v>0</v>
      </c>
      <c r="O19" s="62">
        <f>SUM(Tabela17[[#This Row],[RAL 1023]:[Custom made colour (7% add price)]])</f>
        <v>0</v>
      </c>
      <c r="P19" s="62">
        <f>Tabela17[[#This Row],[PCS]]*Tabela17[[#This Row],[Weight (kg)]]</f>
        <v>0</v>
      </c>
      <c r="Q19" s="481"/>
      <c r="R19" s="486"/>
      <c r="S19" s="466"/>
      <c r="T19" s="435"/>
      <c r="U19" s="467"/>
      <c r="V19" s="468"/>
      <c r="W19" s="436"/>
      <c r="X19" s="470"/>
      <c r="Y19" s="469"/>
      <c r="Z19" s="449"/>
      <c r="AA19" s="83"/>
      <c r="AB19" s="206"/>
      <c r="AD19" s="30"/>
      <c r="AE19" s="30"/>
      <c r="AF19" s="30"/>
      <c r="AG19" s="30"/>
      <c r="AH19" s="30"/>
    </row>
    <row r="20" spans="2:34" ht="12" customHeight="1" thickBot="1" x14ac:dyDescent="0.25">
      <c r="B20" s="29" t="s">
        <v>690</v>
      </c>
      <c r="C20" s="92" t="s">
        <v>671</v>
      </c>
      <c r="D20" s="204" t="s">
        <v>1149</v>
      </c>
      <c r="E20" s="48" t="s">
        <v>708</v>
      </c>
      <c r="F20" s="47">
        <v>3.15</v>
      </c>
      <c r="G20" s="224">
        <v>109</v>
      </c>
      <c r="H20" s="224">
        <f>ROUNDUP(Tabela17[[#This Row],[PRICE]]*(1+PRICES!$C$7),0)</f>
        <v>131</v>
      </c>
      <c r="I20" s="175">
        <v>0.15</v>
      </c>
      <c r="J20" s="49">
        <f>Tabela17[[#This Row],[PRICE]]*Tabela17[[#This Row],[DISCOUNT per piece '[%']]]</f>
        <v>16.349999999999998</v>
      </c>
      <c r="K20" s="49">
        <f>Tabela17[[#This Row],[PRICE]]*(1-Tabela17[[#This Row],[DISCOUNT per piece '[%']]])</f>
        <v>92.649999999999991</v>
      </c>
      <c r="L20" s="178">
        <f>Tabela17[[#This Row],[PCS]]*Tabela17[[#This Row],[PROMOTIONAL PRICE]]</f>
        <v>0</v>
      </c>
      <c r="M20" s="497" cm="1">
        <f t="array" ref="M20">ROUNDUP(Tabela17[[#This Row],[NEW PRICE]]*eurofxref_daily[],2)</f>
        <v>210.76</v>
      </c>
      <c r="N20" s="506">
        <f>Tabela17[[#This Row],[CAD PRICE]]*O20</f>
        <v>0</v>
      </c>
      <c r="O20" s="62">
        <f>SUM(Tabela17[[#This Row],[RAL 1023]:[Custom made colour (7% add price)]])</f>
        <v>0</v>
      </c>
      <c r="P20" s="62">
        <f>Tabela17[[#This Row],[PCS]]*Tabela17[[#This Row],[Weight (kg)]]</f>
        <v>0</v>
      </c>
      <c r="Q20" s="481"/>
      <c r="R20" s="486"/>
      <c r="S20" s="466"/>
      <c r="T20" s="435"/>
      <c r="U20" s="467"/>
      <c r="V20" s="468"/>
      <c r="W20" s="436"/>
      <c r="X20" s="470"/>
      <c r="Y20" s="469"/>
      <c r="Z20" s="449"/>
      <c r="AA20" s="83"/>
      <c r="AB20" s="206"/>
      <c r="AD20" s="30"/>
      <c r="AE20" s="30"/>
      <c r="AF20" s="30"/>
      <c r="AG20" s="30"/>
      <c r="AH20" s="30"/>
    </row>
    <row r="21" spans="2:34" ht="12" customHeight="1" thickBot="1" x14ac:dyDescent="0.25">
      <c r="B21" s="29" t="s">
        <v>691</v>
      </c>
      <c r="C21" s="92" t="s">
        <v>672</v>
      </c>
      <c r="D21" s="204" t="s">
        <v>1150</v>
      </c>
      <c r="E21" s="48" t="s">
        <v>708</v>
      </c>
      <c r="F21" s="47">
        <v>3.15</v>
      </c>
      <c r="G21" s="224">
        <v>109</v>
      </c>
      <c r="H21" s="224">
        <f>ROUNDUP(Tabela17[[#This Row],[PRICE]]*(1+PRICES!$C$7),0)</f>
        <v>131</v>
      </c>
      <c r="I21" s="175">
        <v>0.15</v>
      </c>
      <c r="J21" s="49">
        <f>Tabela17[[#This Row],[PRICE]]*Tabela17[[#This Row],[DISCOUNT per piece '[%']]]</f>
        <v>16.349999999999998</v>
      </c>
      <c r="K21" s="49">
        <f>Tabela17[[#This Row],[PRICE]]*(1-Tabela17[[#This Row],[DISCOUNT per piece '[%']]])</f>
        <v>92.649999999999991</v>
      </c>
      <c r="L21" s="178">
        <f>Tabela17[[#This Row],[PCS]]*Tabela17[[#This Row],[PROMOTIONAL PRICE]]</f>
        <v>0</v>
      </c>
      <c r="M21" s="497" cm="1">
        <f t="array" ref="M21">ROUNDUP(Tabela17[[#This Row],[NEW PRICE]]*eurofxref_daily[],2)</f>
        <v>210.76</v>
      </c>
      <c r="N21" s="506">
        <f>Tabela17[[#This Row],[CAD PRICE]]*O21</f>
        <v>0</v>
      </c>
      <c r="O21" s="62">
        <f>SUM(Tabela17[[#This Row],[RAL 1023]:[Custom made colour (7% add price)]])</f>
        <v>0</v>
      </c>
      <c r="P21" s="62">
        <f>Tabela17[[#This Row],[PCS]]*Tabela17[[#This Row],[Weight (kg)]]</f>
        <v>0</v>
      </c>
      <c r="Q21" s="481"/>
      <c r="R21" s="486"/>
      <c r="S21" s="466"/>
      <c r="T21" s="435"/>
      <c r="U21" s="467"/>
      <c r="V21" s="468"/>
      <c r="W21" s="436"/>
      <c r="X21" s="470"/>
      <c r="Y21" s="469"/>
      <c r="Z21" s="449"/>
      <c r="AA21" s="83"/>
      <c r="AB21" s="206"/>
      <c r="AD21" s="30"/>
      <c r="AE21" s="30"/>
      <c r="AF21" s="30"/>
      <c r="AG21" s="30"/>
      <c r="AH21" s="30"/>
    </row>
    <row r="22" spans="2:34" ht="12" customHeight="1" thickBot="1" x14ac:dyDescent="0.25">
      <c r="B22" s="29" t="s">
        <v>692</v>
      </c>
      <c r="C22" s="92" t="s">
        <v>673</v>
      </c>
      <c r="D22" s="204" t="s">
        <v>1151</v>
      </c>
      <c r="E22" s="48" t="s">
        <v>703</v>
      </c>
      <c r="F22" s="47">
        <v>3.28</v>
      </c>
      <c r="G22" s="224">
        <v>105</v>
      </c>
      <c r="H22" s="224">
        <f>ROUNDUP(Tabela17[[#This Row],[PRICE]]*(1+PRICES!$C$7),0)</f>
        <v>126</v>
      </c>
      <c r="I22" s="175">
        <v>0.15</v>
      </c>
      <c r="J22" s="49">
        <f>Tabela17[[#This Row],[PRICE]]*Tabela17[[#This Row],[DISCOUNT per piece '[%']]]</f>
        <v>15.75</v>
      </c>
      <c r="K22" s="49">
        <f>Tabela17[[#This Row],[PRICE]]*(1-Tabela17[[#This Row],[DISCOUNT per piece '[%']]])</f>
        <v>89.25</v>
      </c>
      <c r="L22" s="178">
        <f>Tabela17[[#This Row],[PCS]]*Tabela17[[#This Row],[PROMOTIONAL PRICE]]</f>
        <v>0</v>
      </c>
      <c r="M22" s="497" cm="1">
        <f t="array" ref="M22">ROUNDUP(Tabela17[[#This Row],[NEW PRICE]]*eurofxref_daily[],2)</f>
        <v>202.70999999999998</v>
      </c>
      <c r="N22" s="506">
        <f>Tabela17[[#This Row],[CAD PRICE]]*O22</f>
        <v>0</v>
      </c>
      <c r="O22" s="62">
        <f>SUM(Tabela17[[#This Row],[RAL 1023]:[Custom made colour (7% add price)]])</f>
        <v>0</v>
      </c>
      <c r="P22" s="62">
        <f>Tabela17[[#This Row],[PCS]]*Tabela17[[#This Row],[Weight (kg)]]</f>
        <v>0</v>
      </c>
      <c r="Q22" s="481"/>
      <c r="R22" s="486"/>
      <c r="S22" s="466"/>
      <c r="T22" s="435"/>
      <c r="U22" s="467"/>
      <c r="V22" s="468"/>
      <c r="W22" s="436"/>
      <c r="X22" s="470"/>
      <c r="Y22" s="469"/>
      <c r="Z22" s="449"/>
      <c r="AA22" s="83"/>
      <c r="AB22" s="206"/>
      <c r="AD22" s="30"/>
      <c r="AE22" s="30"/>
      <c r="AF22" s="30"/>
      <c r="AG22" s="30"/>
      <c r="AH22" s="30"/>
    </row>
    <row r="23" spans="2:34" ht="12" customHeight="1" thickBot="1" x14ac:dyDescent="0.25">
      <c r="B23" s="29" t="s">
        <v>693</v>
      </c>
      <c r="C23" s="92" t="s">
        <v>674</v>
      </c>
      <c r="D23" s="204" t="s">
        <v>1157</v>
      </c>
      <c r="E23" s="48" t="s">
        <v>709</v>
      </c>
      <c r="F23" s="47">
        <v>3.18</v>
      </c>
      <c r="G23" s="224">
        <v>126</v>
      </c>
      <c r="H23" s="224">
        <f>ROUNDUP(Tabela17[[#This Row],[PRICE]]*(1+PRICES!$C$7),0)</f>
        <v>152</v>
      </c>
      <c r="I23" s="175">
        <v>0.15</v>
      </c>
      <c r="J23" s="49">
        <f>Tabela17[[#This Row],[PRICE]]*Tabela17[[#This Row],[DISCOUNT per piece '[%']]]</f>
        <v>18.899999999999999</v>
      </c>
      <c r="K23" s="49">
        <f>Tabela17[[#This Row],[PRICE]]*(1-Tabela17[[#This Row],[DISCOUNT per piece '[%']]])</f>
        <v>107.1</v>
      </c>
      <c r="L23" s="178">
        <f>Tabela17[[#This Row],[PCS]]*Tabela17[[#This Row],[PROMOTIONAL PRICE]]</f>
        <v>0</v>
      </c>
      <c r="M23" s="497" cm="1">
        <f t="array" ref="M23">ROUNDUP(Tabela17[[#This Row],[NEW PRICE]]*eurofxref_daily[],2)</f>
        <v>244.54</v>
      </c>
      <c r="N23" s="506">
        <f>Tabela17[[#This Row],[CAD PRICE]]*O23</f>
        <v>0</v>
      </c>
      <c r="O23" s="62">
        <f>SUM(Tabela17[[#This Row],[RAL 1023]:[Custom made colour (7% add price)]])</f>
        <v>0</v>
      </c>
      <c r="P23" s="62">
        <f>Tabela17[[#This Row],[PCS]]*Tabela17[[#This Row],[Weight (kg)]]</f>
        <v>0</v>
      </c>
      <c r="Q23" s="481"/>
      <c r="R23" s="486"/>
      <c r="S23" s="466"/>
      <c r="T23" s="435"/>
      <c r="U23" s="467"/>
      <c r="V23" s="468"/>
      <c r="W23" s="436"/>
      <c r="X23" s="470"/>
      <c r="Y23" s="469"/>
      <c r="Z23" s="449"/>
      <c r="AA23" s="83"/>
      <c r="AB23" s="206"/>
      <c r="AD23" s="30"/>
      <c r="AE23" s="30"/>
      <c r="AF23" s="30"/>
      <c r="AG23" s="30"/>
      <c r="AH23" s="30"/>
    </row>
    <row r="24" spans="2:34" ht="12" customHeight="1" thickBot="1" x14ac:dyDescent="0.25">
      <c r="B24" s="29" t="s">
        <v>694</v>
      </c>
      <c r="C24" s="92" t="s">
        <v>675</v>
      </c>
      <c r="D24" s="204" t="s">
        <v>1158</v>
      </c>
      <c r="E24" s="48" t="s">
        <v>710</v>
      </c>
      <c r="F24" s="47">
        <v>2.2200000000000002</v>
      </c>
      <c r="G24" s="224">
        <v>105</v>
      </c>
      <c r="H24" s="224">
        <f>ROUNDUP(Tabela17[[#This Row],[PRICE]]*(1+PRICES!$C$7),0)</f>
        <v>126</v>
      </c>
      <c r="I24" s="175">
        <v>0.15</v>
      </c>
      <c r="J24" s="49">
        <f>Tabela17[[#This Row],[PRICE]]*Tabela17[[#This Row],[DISCOUNT per piece '[%']]]</f>
        <v>15.75</v>
      </c>
      <c r="K24" s="49">
        <f>Tabela17[[#This Row],[PRICE]]*(1-Tabela17[[#This Row],[DISCOUNT per piece '[%']]])</f>
        <v>89.25</v>
      </c>
      <c r="L24" s="178">
        <f>Tabela17[[#This Row],[PCS]]*Tabela17[[#This Row],[PROMOTIONAL PRICE]]</f>
        <v>0</v>
      </c>
      <c r="M24" s="497" cm="1">
        <f t="array" ref="M24">ROUNDUP(Tabela17[[#This Row],[NEW PRICE]]*eurofxref_daily[],2)</f>
        <v>202.70999999999998</v>
      </c>
      <c r="N24" s="506">
        <f>Tabela17[[#This Row],[CAD PRICE]]*O24</f>
        <v>0</v>
      </c>
      <c r="O24" s="62">
        <f>SUM(Tabela17[[#This Row],[RAL 1023]:[Custom made colour (7% add price)]])</f>
        <v>0</v>
      </c>
      <c r="P24" s="62">
        <f>Tabela17[[#This Row],[PCS]]*Tabela17[[#This Row],[Weight (kg)]]</f>
        <v>0</v>
      </c>
      <c r="Q24" s="481"/>
      <c r="R24" s="486"/>
      <c r="S24" s="466"/>
      <c r="T24" s="435"/>
      <c r="U24" s="467"/>
      <c r="V24" s="468"/>
      <c r="W24" s="436"/>
      <c r="X24" s="470"/>
      <c r="Y24" s="469"/>
      <c r="Z24" s="449"/>
      <c r="AA24" s="83"/>
      <c r="AB24" s="206"/>
      <c r="AD24" s="30"/>
      <c r="AE24" s="30"/>
      <c r="AF24" s="30"/>
      <c r="AG24" s="30"/>
      <c r="AH24" s="30"/>
    </row>
    <row r="25" spans="2:34" ht="12" customHeight="1" thickBot="1" x14ac:dyDescent="0.25">
      <c r="B25" s="29" t="s">
        <v>695</v>
      </c>
      <c r="C25" s="92" t="s">
        <v>676</v>
      </c>
      <c r="D25" s="204" t="s">
        <v>1159</v>
      </c>
      <c r="E25" s="48" t="s">
        <v>711</v>
      </c>
      <c r="F25" s="47">
        <v>1.73</v>
      </c>
      <c r="G25" s="224">
        <v>95</v>
      </c>
      <c r="H25" s="224">
        <f>ROUNDUP(Tabela17[[#This Row],[PRICE]]*(1+PRICES!$C$7),0)</f>
        <v>114</v>
      </c>
      <c r="I25" s="175">
        <v>0.15</v>
      </c>
      <c r="J25" s="49">
        <f>Tabela17[[#This Row],[PRICE]]*Tabela17[[#This Row],[DISCOUNT per piece '[%']]]</f>
        <v>14.25</v>
      </c>
      <c r="K25" s="49">
        <f>Tabela17[[#This Row],[PRICE]]*(1-Tabela17[[#This Row],[DISCOUNT per piece '[%']]])</f>
        <v>80.75</v>
      </c>
      <c r="L25" s="178">
        <f>Tabela17[[#This Row],[PCS]]*Tabela17[[#This Row],[PROMOTIONAL PRICE]]</f>
        <v>0</v>
      </c>
      <c r="M25" s="497" cm="1">
        <f t="array" ref="M25">ROUNDUP(Tabela17[[#This Row],[NEW PRICE]]*eurofxref_daily[],2)</f>
        <v>183.41</v>
      </c>
      <c r="N25" s="506">
        <f>Tabela17[[#This Row],[CAD PRICE]]*O25</f>
        <v>0</v>
      </c>
      <c r="O25" s="62">
        <f>SUM(Tabela17[[#This Row],[RAL 1023]:[Custom made colour (7% add price)]])</f>
        <v>0</v>
      </c>
      <c r="P25" s="62">
        <f>Tabela17[[#This Row],[PCS]]*Tabela17[[#This Row],[Weight (kg)]]</f>
        <v>0</v>
      </c>
      <c r="Q25" s="481"/>
      <c r="R25" s="486"/>
      <c r="S25" s="466"/>
      <c r="T25" s="435"/>
      <c r="U25" s="467"/>
      <c r="V25" s="468"/>
      <c r="W25" s="436"/>
      <c r="X25" s="470"/>
      <c r="Y25" s="469"/>
      <c r="Z25" s="449"/>
      <c r="AA25" s="83"/>
      <c r="AB25" s="206"/>
      <c r="AD25" s="30"/>
      <c r="AE25" s="30"/>
      <c r="AF25" s="30"/>
      <c r="AG25" s="30"/>
      <c r="AH25" s="30"/>
    </row>
    <row r="26" spans="2:34" ht="12" customHeight="1" thickBot="1" x14ac:dyDescent="0.25">
      <c r="B26" s="29" t="s">
        <v>696</v>
      </c>
      <c r="C26" s="92" t="s">
        <v>677</v>
      </c>
      <c r="D26" s="204" t="s">
        <v>1160</v>
      </c>
      <c r="E26" s="48" t="s">
        <v>712</v>
      </c>
      <c r="F26" s="47">
        <v>3.18</v>
      </c>
      <c r="G26" s="224">
        <v>110</v>
      </c>
      <c r="H26" s="224">
        <f>ROUNDUP(Tabela17[[#This Row],[PRICE]]*(1+PRICES!$C$7),0)</f>
        <v>132</v>
      </c>
      <c r="I26" s="175">
        <v>0.15</v>
      </c>
      <c r="J26" s="49">
        <f>Tabela17[[#This Row],[PRICE]]*Tabela17[[#This Row],[DISCOUNT per piece '[%']]]</f>
        <v>16.5</v>
      </c>
      <c r="K26" s="49">
        <f>Tabela17[[#This Row],[PRICE]]*(1-Tabela17[[#This Row],[DISCOUNT per piece '[%']]])</f>
        <v>93.5</v>
      </c>
      <c r="L26" s="178">
        <f>Tabela17[[#This Row],[PCS]]*Tabela17[[#This Row],[PROMOTIONAL PRICE]]</f>
        <v>0</v>
      </c>
      <c r="M26" s="497" cm="1">
        <f t="array" ref="M26">ROUNDUP(Tabela17[[#This Row],[NEW PRICE]]*eurofxref_daily[],2)</f>
        <v>212.37</v>
      </c>
      <c r="N26" s="506">
        <f>Tabela17[[#This Row],[CAD PRICE]]*O26</f>
        <v>0</v>
      </c>
      <c r="O26" s="62">
        <f>SUM(Tabela17[[#This Row],[RAL 1023]:[Custom made colour (7% add price)]])</f>
        <v>0</v>
      </c>
      <c r="P26" s="62">
        <f>Tabela17[[#This Row],[PCS]]*Tabela17[[#This Row],[Weight (kg)]]</f>
        <v>0</v>
      </c>
      <c r="Q26" s="481"/>
      <c r="R26" s="486"/>
      <c r="S26" s="466"/>
      <c r="T26" s="435"/>
      <c r="U26" s="467"/>
      <c r="V26" s="468"/>
      <c r="W26" s="436"/>
      <c r="X26" s="470"/>
      <c r="Y26" s="469"/>
      <c r="Z26" s="449"/>
      <c r="AA26" s="83"/>
      <c r="AB26" s="206"/>
      <c r="AD26" s="30"/>
      <c r="AE26" s="30"/>
      <c r="AF26" s="30"/>
      <c r="AG26" s="30"/>
      <c r="AH26" s="30"/>
    </row>
    <row r="27" spans="2:34" ht="12" customHeight="1" thickBot="1" x14ac:dyDescent="0.25">
      <c r="B27" s="29" t="s">
        <v>697</v>
      </c>
      <c r="C27" s="92" t="s">
        <v>678</v>
      </c>
      <c r="D27" s="204" t="s">
        <v>1161</v>
      </c>
      <c r="E27" s="48" t="s">
        <v>713</v>
      </c>
      <c r="F27" s="47">
        <v>6.99</v>
      </c>
      <c r="G27" s="224">
        <v>176</v>
      </c>
      <c r="H27" s="224">
        <f>ROUNDUP(Tabela17[[#This Row],[PRICE]]*(1+PRICES!$C$7),0)</f>
        <v>212</v>
      </c>
      <c r="I27" s="175">
        <v>0.15</v>
      </c>
      <c r="J27" s="49">
        <f>Tabela17[[#This Row],[PRICE]]*Tabela17[[#This Row],[DISCOUNT per piece '[%']]]</f>
        <v>26.4</v>
      </c>
      <c r="K27" s="49">
        <f>Tabela17[[#This Row],[PRICE]]*(1-Tabela17[[#This Row],[DISCOUNT per piece '[%']]])</f>
        <v>149.6</v>
      </c>
      <c r="L27" s="178">
        <f>Tabela17[[#This Row],[PCS]]*Tabela17[[#This Row],[PROMOTIONAL PRICE]]</f>
        <v>0</v>
      </c>
      <c r="M27" s="497" cm="1">
        <f t="array" ref="M27">ROUNDUP(Tabela17[[#This Row],[NEW PRICE]]*eurofxref_daily[],2)</f>
        <v>341.07</v>
      </c>
      <c r="N27" s="506">
        <f>Tabela17[[#This Row],[CAD PRICE]]*O27</f>
        <v>0</v>
      </c>
      <c r="O27" s="62">
        <f>SUM(Tabela17[[#This Row],[RAL 1023]:[Custom made colour (7% add price)]])</f>
        <v>0</v>
      </c>
      <c r="P27" s="62">
        <f>Tabela17[[#This Row],[PCS]]*Tabela17[[#This Row],[Weight (kg)]]</f>
        <v>0</v>
      </c>
      <c r="Q27" s="481"/>
      <c r="R27" s="486"/>
      <c r="S27" s="466"/>
      <c r="T27" s="435"/>
      <c r="U27" s="467"/>
      <c r="V27" s="468"/>
      <c r="W27" s="436"/>
      <c r="X27" s="470"/>
      <c r="Y27" s="469"/>
      <c r="Z27" s="449"/>
      <c r="AA27" s="83"/>
      <c r="AB27" s="206"/>
      <c r="AD27" s="30"/>
      <c r="AE27" s="30"/>
      <c r="AF27" s="30"/>
      <c r="AG27" s="30"/>
      <c r="AH27" s="30"/>
    </row>
    <row r="28" spans="2:34" ht="12" customHeight="1" thickBot="1" x14ac:dyDescent="0.25">
      <c r="B28" s="122" t="s">
        <v>714</v>
      </c>
      <c r="C28" s="151" t="s">
        <v>1132</v>
      </c>
      <c r="D28" s="126"/>
      <c r="E28" s="124"/>
      <c r="F28" s="124"/>
      <c r="G28" s="358"/>
      <c r="H28" s="124"/>
      <c r="I28" s="124"/>
      <c r="J28" s="124"/>
      <c r="K28" s="124"/>
      <c r="L28" s="124"/>
      <c r="M28" s="124"/>
      <c r="N28" s="124"/>
      <c r="O28" s="124"/>
      <c r="P28" s="140"/>
      <c r="Q28" s="201"/>
      <c r="R28" s="201"/>
      <c r="S28" s="201"/>
      <c r="T28" s="201"/>
      <c r="U28" s="201"/>
      <c r="V28" s="201"/>
      <c r="W28" s="201"/>
      <c r="X28" s="201"/>
      <c r="Y28" s="456"/>
      <c r="Z28" s="453"/>
      <c r="AA28" s="81"/>
      <c r="AB28" s="202"/>
      <c r="AD28" s="30"/>
      <c r="AE28" s="30"/>
      <c r="AF28" s="30"/>
      <c r="AG28" s="30"/>
      <c r="AH28" s="30"/>
    </row>
    <row r="29" spans="2:34" ht="12" customHeight="1" thickBot="1" x14ac:dyDescent="0.25">
      <c r="B29" s="29" t="s">
        <v>736</v>
      </c>
      <c r="C29" s="92" t="s">
        <v>715</v>
      </c>
      <c r="D29" s="204" t="s">
        <v>1162</v>
      </c>
      <c r="E29" s="48" t="s">
        <v>701</v>
      </c>
      <c r="F29" s="47">
        <v>3.65</v>
      </c>
      <c r="G29" s="224">
        <v>110</v>
      </c>
      <c r="H29" s="224">
        <f>ROUNDUP(Tabela17[[#This Row],[PRICE]]*(1+PRICES!$C$7),0)</f>
        <v>132</v>
      </c>
      <c r="I29" s="175">
        <v>0.15</v>
      </c>
      <c r="J29" s="49">
        <f>Tabela17[[#This Row],[PRICE]]*Tabela17[[#This Row],[DISCOUNT per piece '[%']]]</f>
        <v>16.5</v>
      </c>
      <c r="K29" s="49">
        <f>Tabela17[[#This Row],[PRICE]]*(1-Tabela17[[#This Row],[DISCOUNT per piece '[%']]])</f>
        <v>93.5</v>
      </c>
      <c r="L29" s="178">
        <f>Tabela17[[#This Row],[PCS]]*Tabela17[[#This Row],[PROMOTIONAL PRICE]]</f>
        <v>0</v>
      </c>
      <c r="M29" s="497" cm="1">
        <f t="array" ref="M29">ROUNDUP(Tabela17[[#This Row],[NEW PRICE]]*eurofxref_daily[],2)</f>
        <v>212.37</v>
      </c>
      <c r="N29" s="506">
        <f>Tabela17[[#This Row],[CAD PRICE]]*O29</f>
        <v>0</v>
      </c>
      <c r="O29" s="62">
        <f>SUM(Tabela17[[#This Row],[RAL 1023]:[Custom made colour (7% add price)]])</f>
        <v>0</v>
      </c>
      <c r="P29" s="62">
        <f>Tabela17[[#This Row],[PCS]]*Tabela17[[#This Row],[Weight (kg)]]</f>
        <v>0</v>
      </c>
      <c r="Q29" s="481"/>
      <c r="R29" s="486"/>
      <c r="S29" s="466"/>
      <c r="T29" s="435"/>
      <c r="U29" s="467"/>
      <c r="V29" s="468"/>
      <c r="W29" s="436"/>
      <c r="X29" s="470"/>
      <c r="Y29" s="469"/>
      <c r="Z29" s="449"/>
      <c r="AA29" s="83"/>
      <c r="AB29" s="206"/>
      <c r="AD29" s="30"/>
      <c r="AE29" s="30"/>
      <c r="AF29" s="30"/>
      <c r="AG29" s="30"/>
      <c r="AH29" s="30"/>
    </row>
    <row r="30" spans="2:34" ht="12" customHeight="1" thickBot="1" x14ac:dyDescent="0.25">
      <c r="B30" s="29" t="s">
        <v>737</v>
      </c>
      <c r="C30" s="92" t="s">
        <v>716</v>
      </c>
      <c r="D30" s="204" t="s">
        <v>1163</v>
      </c>
      <c r="E30" s="48" t="s">
        <v>702</v>
      </c>
      <c r="F30" s="47">
        <v>4.0599999999999996</v>
      </c>
      <c r="G30" s="224">
        <v>112</v>
      </c>
      <c r="H30" s="224">
        <f>ROUNDUP(Tabela17[[#This Row],[PRICE]]*(1+PRICES!$C$7),0)</f>
        <v>135</v>
      </c>
      <c r="I30" s="175">
        <v>0.15</v>
      </c>
      <c r="J30" s="49">
        <f>Tabela17[[#This Row],[PRICE]]*Tabela17[[#This Row],[DISCOUNT per piece '[%']]]</f>
        <v>16.8</v>
      </c>
      <c r="K30" s="49">
        <f>Tabela17[[#This Row],[PRICE]]*(1-Tabela17[[#This Row],[DISCOUNT per piece '[%']]])</f>
        <v>95.2</v>
      </c>
      <c r="L30" s="178">
        <f>Tabela17[[#This Row],[PCS]]*Tabela17[[#This Row],[PROMOTIONAL PRICE]]</f>
        <v>0</v>
      </c>
      <c r="M30" s="497" cm="1">
        <f t="array" ref="M30">ROUNDUP(Tabela17[[#This Row],[NEW PRICE]]*eurofxref_daily[],2)</f>
        <v>217.19</v>
      </c>
      <c r="N30" s="506">
        <f>Tabela17[[#This Row],[CAD PRICE]]*O30</f>
        <v>0</v>
      </c>
      <c r="O30" s="62">
        <f>SUM(Tabela17[[#This Row],[RAL 1023]:[Custom made colour (7% add price)]])</f>
        <v>0</v>
      </c>
      <c r="P30" s="62">
        <f>Tabela17[[#This Row],[PCS]]*Tabela17[[#This Row],[Weight (kg)]]</f>
        <v>0</v>
      </c>
      <c r="Q30" s="481"/>
      <c r="R30" s="486"/>
      <c r="S30" s="466"/>
      <c r="T30" s="435"/>
      <c r="U30" s="467"/>
      <c r="V30" s="468"/>
      <c r="W30" s="436"/>
      <c r="X30" s="470"/>
      <c r="Y30" s="469"/>
      <c r="Z30" s="449"/>
      <c r="AA30" s="83"/>
      <c r="AB30" s="206"/>
      <c r="AD30" s="30"/>
      <c r="AE30" s="30"/>
      <c r="AF30" s="30"/>
      <c r="AG30" s="30"/>
      <c r="AH30" s="30"/>
    </row>
    <row r="31" spans="2:34" ht="12" customHeight="1" thickBot="1" x14ac:dyDescent="0.25">
      <c r="B31" s="29" t="s">
        <v>738</v>
      </c>
      <c r="C31" s="92" t="s">
        <v>717</v>
      </c>
      <c r="D31" s="204" t="s">
        <v>1164</v>
      </c>
      <c r="E31" s="48" t="s">
        <v>757</v>
      </c>
      <c r="F31" s="47">
        <v>5.0599999999999996</v>
      </c>
      <c r="G31" s="224">
        <v>114</v>
      </c>
      <c r="H31" s="224">
        <f>ROUNDUP(Tabela17[[#This Row],[PRICE]]*(1+PRICES!$C$7),0)</f>
        <v>137</v>
      </c>
      <c r="I31" s="175">
        <v>0.15</v>
      </c>
      <c r="J31" s="49">
        <f>Tabela17[[#This Row],[PRICE]]*Tabela17[[#This Row],[DISCOUNT per piece '[%']]]</f>
        <v>17.099999999999998</v>
      </c>
      <c r="K31" s="49">
        <f>Tabela17[[#This Row],[PRICE]]*(1-Tabela17[[#This Row],[DISCOUNT per piece '[%']]])</f>
        <v>96.899999999999991</v>
      </c>
      <c r="L31" s="178">
        <f>Tabela17[[#This Row],[PCS]]*Tabela17[[#This Row],[PROMOTIONAL PRICE]]</f>
        <v>0</v>
      </c>
      <c r="M31" s="497" cm="1">
        <f t="array" ref="M31">ROUNDUP(Tabela17[[#This Row],[NEW PRICE]]*eurofxref_daily[],2)</f>
        <v>220.41</v>
      </c>
      <c r="N31" s="506">
        <f>Tabela17[[#This Row],[CAD PRICE]]*O31</f>
        <v>0</v>
      </c>
      <c r="O31" s="62">
        <f>SUM(Tabela17[[#This Row],[RAL 1023]:[Custom made colour (7% add price)]])</f>
        <v>0</v>
      </c>
      <c r="P31" s="62">
        <f>Tabela17[[#This Row],[PCS]]*Tabela17[[#This Row],[Weight (kg)]]</f>
        <v>0</v>
      </c>
      <c r="Q31" s="481"/>
      <c r="R31" s="486"/>
      <c r="S31" s="466"/>
      <c r="T31" s="435"/>
      <c r="U31" s="467"/>
      <c r="V31" s="468"/>
      <c r="W31" s="436"/>
      <c r="X31" s="470"/>
      <c r="Y31" s="469"/>
      <c r="Z31" s="449"/>
      <c r="AA31" s="83"/>
      <c r="AB31" s="206"/>
      <c r="AD31" s="30"/>
      <c r="AE31" s="30"/>
      <c r="AF31" s="30"/>
      <c r="AG31" s="30"/>
      <c r="AH31" s="30"/>
    </row>
    <row r="32" spans="2:34" ht="12" customHeight="1" thickBot="1" x14ac:dyDescent="0.25">
      <c r="B32" s="29" t="s">
        <v>739</v>
      </c>
      <c r="C32" s="92" t="s">
        <v>718</v>
      </c>
      <c r="D32" s="204" t="s">
        <v>1165</v>
      </c>
      <c r="E32" s="48" t="s">
        <v>758</v>
      </c>
      <c r="F32" s="47">
        <v>7.39</v>
      </c>
      <c r="G32" s="224">
        <v>170</v>
      </c>
      <c r="H32" s="224">
        <f>ROUNDUP(Tabela17[[#This Row],[PRICE]]*(1+PRICES!$C$7),0)</f>
        <v>204</v>
      </c>
      <c r="I32" s="175">
        <v>0.15</v>
      </c>
      <c r="J32" s="49">
        <f>Tabela17[[#This Row],[PRICE]]*Tabela17[[#This Row],[DISCOUNT per piece '[%']]]</f>
        <v>25.5</v>
      </c>
      <c r="K32" s="49">
        <f>Tabela17[[#This Row],[PRICE]]*(1-Tabela17[[#This Row],[DISCOUNT per piece '[%']]])</f>
        <v>144.5</v>
      </c>
      <c r="L32" s="178">
        <f>Tabela17[[#This Row],[PCS]]*Tabela17[[#This Row],[PROMOTIONAL PRICE]]</f>
        <v>0</v>
      </c>
      <c r="M32" s="497" cm="1">
        <f t="array" ref="M32">ROUNDUP(Tabela17[[#This Row],[NEW PRICE]]*eurofxref_daily[],2)</f>
        <v>328.2</v>
      </c>
      <c r="N32" s="506">
        <f>Tabela17[[#This Row],[CAD PRICE]]*O32</f>
        <v>0</v>
      </c>
      <c r="O32" s="62">
        <f>SUM(Tabela17[[#This Row],[RAL 1023]:[Custom made colour (7% add price)]])</f>
        <v>0</v>
      </c>
      <c r="P32" s="62">
        <f>Tabela17[[#This Row],[PCS]]*Tabela17[[#This Row],[Weight (kg)]]</f>
        <v>0</v>
      </c>
      <c r="Q32" s="481"/>
      <c r="R32" s="486"/>
      <c r="S32" s="466"/>
      <c r="T32" s="435"/>
      <c r="U32" s="467"/>
      <c r="V32" s="468"/>
      <c r="W32" s="436"/>
      <c r="X32" s="470"/>
      <c r="Y32" s="469"/>
      <c r="Z32" s="449"/>
      <c r="AA32" s="83"/>
      <c r="AB32" s="206"/>
      <c r="AD32" s="30"/>
      <c r="AE32" s="30"/>
      <c r="AF32" s="30"/>
      <c r="AG32" s="30"/>
      <c r="AH32" s="30"/>
    </row>
    <row r="33" spans="2:34" ht="12" customHeight="1" thickBot="1" x14ac:dyDescent="0.25">
      <c r="B33" s="29" t="s">
        <v>740</v>
      </c>
      <c r="C33" s="92" t="s">
        <v>719</v>
      </c>
      <c r="D33" s="204" t="s">
        <v>1166</v>
      </c>
      <c r="E33" s="48" t="s">
        <v>759</v>
      </c>
      <c r="F33" s="47">
        <v>8.7200000000000006</v>
      </c>
      <c r="G33" s="224">
        <v>191</v>
      </c>
      <c r="H33" s="224">
        <f>ROUNDUP(Tabela17[[#This Row],[PRICE]]*(1+PRICES!$C$7),0)</f>
        <v>230</v>
      </c>
      <c r="I33" s="175">
        <v>0.15</v>
      </c>
      <c r="J33" s="49">
        <f>Tabela17[[#This Row],[PRICE]]*Tabela17[[#This Row],[DISCOUNT per piece '[%']]]</f>
        <v>28.65</v>
      </c>
      <c r="K33" s="49">
        <f>Tabela17[[#This Row],[PRICE]]*(1-Tabela17[[#This Row],[DISCOUNT per piece '[%']]])</f>
        <v>162.35</v>
      </c>
      <c r="L33" s="178">
        <f>Tabela17[[#This Row],[PCS]]*Tabela17[[#This Row],[PROMOTIONAL PRICE]]</f>
        <v>0</v>
      </c>
      <c r="M33" s="497" cm="1">
        <f t="array" ref="M33">ROUNDUP(Tabela17[[#This Row],[NEW PRICE]]*eurofxref_daily[],2)</f>
        <v>370.03</v>
      </c>
      <c r="N33" s="506">
        <f>Tabela17[[#This Row],[CAD PRICE]]*O33</f>
        <v>0</v>
      </c>
      <c r="O33" s="62">
        <f>SUM(Tabela17[[#This Row],[RAL 1023]:[Custom made colour (7% add price)]])</f>
        <v>0</v>
      </c>
      <c r="P33" s="62">
        <f>Tabela17[[#This Row],[PCS]]*Tabela17[[#This Row],[Weight (kg)]]</f>
        <v>0</v>
      </c>
      <c r="Q33" s="481"/>
      <c r="R33" s="486"/>
      <c r="S33" s="466"/>
      <c r="T33" s="435"/>
      <c r="U33" s="467"/>
      <c r="V33" s="468"/>
      <c r="W33" s="436"/>
      <c r="X33" s="470"/>
      <c r="Y33" s="469"/>
      <c r="Z33" s="449"/>
      <c r="AA33" s="83"/>
      <c r="AB33" s="206"/>
      <c r="AD33" s="30"/>
      <c r="AE33" s="30"/>
      <c r="AF33" s="30"/>
      <c r="AG33" s="30"/>
      <c r="AH33" s="30"/>
    </row>
    <row r="34" spans="2:34" ht="12" customHeight="1" thickBot="1" x14ac:dyDescent="0.25">
      <c r="B34" s="29" t="s">
        <v>741</v>
      </c>
      <c r="C34" s="92" t="s">
        <v>720</v>
      </c>
      <c r="D34" s="204" t="s">
        <v>1167</v>
      </c>
      <c r="E34" s="48" t="s">
        <v>758</v>
      </c>
      <c r="F34" s="47">
        <v>8.1300000000000008</v>
      </c>
      <c r="G34" s="224">
        <v>191</v>
      </c>
      <c r="H34" s="224">
        <f>ROUNDUP(Tabela17[[#This Row],[PRICE]]*(1+PRICES!$C$7),0)</f>
        <v>230</v>
      </c>
      <c r="I34" s="175">
        <v>0.15</v>
      </c>
      <c r="J34" s="49">
        <f>Tabela17[[#This Row],[PRICE]]*Tabela17[[#This Row],[DISCOUNT per piece '[%']]]</f>
        <v>28.65</v>
      </c>
      <c r="K34" s="49">
        <f>Tabela17[[#This Row],[PRICE]]*(1-Tabela17[[#This Row],[DISCOUNT per piece '[%']]])</f>
        <v>162.35</v>
      </c>
      <c r="L34" s="178">
        <f>Tabela17[[#This Row],[PCS]]*Tabela17[[#This Row],[PROMOTIONAL PRICE]]</f>
        <v>0</v>
      </c>
      <c r="M34" s="497" cm="1">
        <f t="array" ref="M34">ROUNDUP(Tabela17[[#This Row],[NEW PRICE]]*eurofxref_daily[],2)</f>
        <v>370.03</v>
      </c>
      <c r="N34" s="506">
        <f>Tabela17[[#This Row],[CAD PRICE]]*O34</f>
        <v>0</v>
      </c>
      <c r="O34" s="62">
        <f>SUM(Tabela17[[#This Row],[RAL 1023]:[Custom made colour (7% add price)]])</f>
        <v>0</v>
      </c>
      <c r="P34" s="62">
        <f>Tabela17[[#This Row],[PCS]]*Tabela17[[#This Row],[Weight (kg)]]</f>
        <v>0</v>
      </c>
      <c r="Q34" s="481"/>
      <c r="R34" s="486"/>
      <c r="S34" s="466"/>
      <c r="T34" s="435"/>
      <c r="U34" s="467"/>
      <c r="V34" s="468"/>
      <c r="W34" s="436"/>
      <c r="X34" s="470"/>
      <c r="Y34" s="469"/>
      <c r="Z34" s="449"/>
      <c r="AA34" s="83"/>
      <c r="AB34" s="206"/>
      <c r="AD34" s="30"/>
      <c r="AE34" s="30"/>
      <c r="AF34" s="30"/>
      <c r="AG34" s="30"/>
      <c r="AH34" s="30"/>
    </row>
    <row r="35" spans="2:34" ht="12" customHeight="1" thickBot="1" x14ac:dyDescent="0.25">
      <c r="B35" s="29" t="s">
        <v>742</v>
      </c>
      <c r="C35" s="92" t="s">
        <v>721</v>
      </c>
      <c r="D35" s="204" t="s">
        <v>1168</v>
      </c>
      <c r="E35" s="48" t="s">
        <v>760</v>
      </c>
      <c r="F35" s="47">
        <v>5.73</v>
      </c>
      <c r="G35" s="224">
        <v>191</v>
      </c>
      <c r="H35" s="224">
        <f>ROUNDUP(Tabela17[[#This Row],[PRICE]]*(1+PRICES!$C$7),0)</f>
        <v>230</v>
      </c>
      <c r="I35" s="175">
        <v>0.15</v>
      </c>
      <c r="J35" s="49">
        <f>Tabela17[[#This Row],[PRICE]]*Tabela17[[#This Row],[DISCOUNT per piece '[%']]]</f>
        <v>28.65</v>
      </c>
      <c r="K35" s="49">
        <f>Tabela17[[#This Row],[PRICE]]*(1-Tabela17[[#This Row],[DISCOUNT per piece '[%']]])</f>
        <v>162.35</v>
      </c>
      <c r="L35" s="178">
        <f>Tabela17[[#This Row],[PCS]]*Tabela17[[#This Row],[PROMOTIONAL PRICE]]</f>
        <v>0</v>
      </c>
      <c r="M35" s="497" cm="1">
        <f t="array" ref="M35">ROUNDUP(Tabela17[[#This Row],[NEW PRICE]]*eurofxref_daily[],2)</f>
        <v>370.03</v>
      </c>
      <c r="N35" s="506">
        <f>Tabela17[[#This Row],[CAD PRICE]]*O35</f>
        <v>0</v>
      </c>
      <c r="O35" s="62">
        <f>SUM(Tabela17[[#This Row],[RAL 1023]:[Custom made colour (7% add price)]])</f>
        <v>0</v>
      </c>
      <c r="P35" s="62">
        <f>Tabela17[[#This Row],[PCS]]*Tabela17[[#This Row],[Weight (kg)]]</f>
        <v>0</v>
      </c>
      <c r="Q35" s="481"/>
      <c r="R35" s="486"/>
      <c r="S35" s="466"/>
      <c r="T35" s="435"/>
      <c r="U35" s="467"/>
      <c r="V35" s="468"/>
      <c r="W35" s="436"/>
      <c r="X35" s="470"/>
      <c r="Y35" s="469"/>
      <c r="Z35" s="449"/>
      <c r="AA35" s="83"/>
      <c r="AB35" s="206"/>
      <c r="AD35" s="30"/>
      <c r="AE35" s="30"/>
      <c r="AF35" s="30"/>
      <c r="AG35" s="30"/>
      <c r="AH35" s="30"/>
    </row>
    <row r="36" spans="2:34" ht="12" customHeight="1" thickBot="1" x14ac:dyDescent="0.25">
      <c r="B36" s="29" t="s">
        <v>743</v>
      </c>
      <c r="C36" s="92" t="s">
        <v>722</v>
      </c>
      <c r="D36" s="204" t="s">
        <v>1169</v>
      </c>
      <c r="E36" s="48" t="s">
        <v>711</v>
      </c>
      <c r="F36" s="47">
        <v>2.29</v>
      </c>
      <c r="G36" s="224">
        <v>117</v>
      </c>
      <c r="H36" s="224">
        <f>ROUNDUP(Tabela17[[#This Row],[PRICE]]*(1+PRICES!$C$7),0)</f>
        <v>141</v>
      </c>
      <c r="I36" s="175">
        <v>0.15</v>
      </c>
      <c r="J36" s="49">
        <f>Tabela17[[#This Row],[PRICE]]*Tabela17[[#This Row],[DISCOUNT per piece '[%']]]</f>
        <v>17.55</v>
      </c>
      <c r="K36" s="49">
        <f>Tabela17[[#This Row],[PRICE]]*(1-Tabela17[[#This Row],[DISCOUNT per piece '[%']]])</f>
        <v>99.45</v>
      </c>
      <c r="L36" s="178">
        <f>Tabela17[[#This Row],[PCS]]*Tabela17[[#This Row],[PROMOTIONAL PRICE]]</f>
        <v>0</v>
      </c>
      <c r="M36" s="497" cm="1">
        <f t="array" ref="M36">ROUNDUP(Tabela17[[#This Row],[NEW PRICE]]*eurofxref_daily[],2)</f>
        <v>226.85</v>
      </c>
      <c r="N36" s="506">
        <f>Tabela17[[#This Row],[CAD PRICE]]*O36</f>
        <v>0</v>
      </c>
      <c r="O36" s="62">
        <f>SUM(Tabela17[[#This Row],[RAL 1023]:[Custom made colour (7% add price)]])</f>
        <v>0</v>
      </c>
      <c r="P36" s="62">
        <f>Tabela17[[#This Row],[PCS]]*Tabela17[[#This Row],[Weight (kg)]]</f>
        <v>0</v>
      </c>
      <c r="Q36" s="481"/>
      <c r="R36" s="486"/>
      <c r="S36" s="466"/>
      <c r="T36" s="435"/>
      <c r="U36" s="467"/>
      <c r="V36" s="468"/>
      <c r="W36" s="436"/>
      <c r="X36" s="470"/>
      <c r="Y36" s="469"/>
      <c r="Z36" s="449"/>
      <c r="AA36" s="83"/>
      <c r="AB36" s="206"/>
      <c r="AD36" s="30"/>
      <c r="AE36" s="30"/>
      <c r="AF36" s="30"/>
      <c r="AG36" s="30"/>
      <c r="AH36" s="30"/>
    </row>
    <row r="37" spans="2:34" ht="12" customHeight="1" thickBot="1" x14ac:dyDescent="0.25">
      <c r="B37" s="29" t="s">
        <v>744</v>
      </c>
      <c r="C37" s="92" t="s">
        <v>723</v>
      </c>
      <c r="D37" s="204" t="s">
        <v>1170</v>
      </c>
      <c r="E37" s="48" t="s">
        <v>761</v>
      </c>
      <c r="F37" s="47">
        <v>3.97</v>
      </c>
      <c r="G37" s="224">
        <v>165</v>
      </c>
      <c r="H37" s="224">
        <f>ROUNDUP(Tabela17[[#This Row],[PRICE]]*(1+PRICES!$C$7),0)</f>
        <v>198</v>
      </c>
      <c r="I37" s="175">
        <v>0.15</v>
      </c>
      <c r="J37" s="49">
        <f>Tabela17[[#This Row],[PRICE]]*Tabela17[[#This Row],[DISCOUNT per piece '[%']]]</f>
        <v>24.75</v>
      </c>
      <c r="K37" s="49">
        <f>Tabela17[[#This Row],[PRICE]]*(1-Tabela17[[#This Row],[DISCOUNT per piece '[%']]])</f>
        <v>140.25</v>
      </c>
      <c r="L37" s="178">
        <f>Tabela17[[#This Row],[PCS]]*Tabela17[[#This Row],[PROMOTIONAL PRICE]]</f>
        <v>0</v>
      </c>
      <c r="M37" s="497" cm="1">
        <f t="array" ref="M37">ROUNDUP(Tabela17[[#This Row],[NEW PRICE]]*eurofxref_daily[],2)</f>
        <v>318.55</v>
      </c>
      <c r="N37" s="506">
        <f>Tabela17[[#This Row],[CAD PRICE]]*O37</f>
        <v>0</v>
      </c>
      <c r="O37" s="62">
        <f>SUM(Tabela17[[#This Row],[RAL 1023]:[Custom made colour (7% add price)]])</f>
        <v>0</v>
      </c>
      <c r="P37" s="62">
        <f>Tabela17[[#This Row],[PCS]]*Tabela17[[#This Row],[Weight (kg)]]</f>
        <v>0</v>
      </c>
      <c r="Q37" s="481"/>
      <c r="R37" s="486"/>
      <c r="S37" s="466"/>
      <c r="T37" s="435"/>
      <c r="U37" s="467"/>
      <c r="V37" s="468"/>
      <c r="W37" s="436"/>
      <c r="X37" s="470"/>
      <c r="Y37" s="469"/>
      <c r="Z37" s="449"/>
      <c r="AA37" s="83"/>
      <c r="AB37" s="206"/>
      <c r="AD37" s="30"/>
      <c r="AE37" s="30"/>
      <c r="AF37" s="30"/>
      <c r="AG37" s="30"/>
      <c r="AH37" s="30"/>
    </row>
    <row r="38" spans="2:34" ht="12" customHeight="1" thickBot="1" x14ac:dyDescent="0.25">
      <c r="B38" s="29" t="s">
        <v>745</v>
      </c>
      <c r="C38" s="92" t="s">
        <v>724</v>
      </c>
      <c r="D38" s="204" t="s">
        <v>1171</v>
      </c>
      <c r="E38" s="48" t="s">
        <v>762</v>
      </c>
      <c r="F38" s="47">
        <v>5.23</v>
      </c>
      <c r="G38" s="224">
        <v>165</v>
      </c>
      <c r="H38" s="224">
        <f>ROUNDUP(Tabela17[[#This Row],[PRICE]]*(1+PRICES!$C$7),0)</f>
        <v>198</v>
      </c>
      <c r="I38" s="175">
        <v>0.15</v>
      </c>
      <c r="J38" s="49">
        <f>Tabela17[[#This Row],[PRICE]]*Tabela17[[#This Row],[DISCOUNT per piece '[%']]]</f>
        <v>24.75</v>
      </c>
      <c r="K38" s="49">
        <f>Tabela17[[#This Row],[PRICE]]*(1-Tabela17[[#This Row],[DISCOUNT per piece '[%']]])</f>
        <v>140.25</v>
      </c>
      <c r="L38" s="178">
        <f>Tabela17[[#This Row],[PCS]]*Tabela17[[#This Row],[PROMOTIONAL PRICE]]</f>
        <v>0</v>
      </c>
      <c r="M38" s="497" cm="1">
        <f t="array" ref="M38">ROUNDUP(Tabela17[[#This Row],[NEW PRICE]]*eurofxref_daily[],2)</f>
        <v>318.55</v>
      </c>
      <c r="N38" s="506">
        <f>Tabela17[[#This Row],[CAD PRICE]]*O38</f>
        <v>0</v>
      </c>
      <c r="O38" s="62">
        <f>SUM(Tabela17[[#This Row],[RAL 1023]:[Custom made colour (7% add price)]])</f>
        <v>0</v>
      </c>
      <c r="P38" s="62">
        <f>Tabela17[[#This Row],[PCS]]*Tabela17[[#This Row],[Weight (kg)]]</f>
        <v>0</v>
      </c>
      <c r="Q38" s="481"/>
      <c r="R38" s="486"/>
      <c r="S38" s="466"/>
      <c r="T38" s="435"/>
      <c r="U38" s="467"/>
      <c r="V38" s="468"/>
      <c r="W38" s="436"/>
      <c r="X38" s="470"/>
      <c r="Y38" s="469"/>
      <c r="Z38" s="449"/>
      <c r="AA38" s="83"/>
      <c r="AB38" s="206"/>
      <c r="AD38" s="30"/>
      <c r="AE38" s="30"/>
      <c r="AF38" s="30"/>
      <c r="AG38" s="30"/>
      <c r="AH38" s="30"/>
    </row>
    <row r="39" spans="2:34" ht="12" customHeight="1" thickBot="1" x14ac:dyDescent="0.25">
      <c r="B39" s="29" t="s">
        <v>746</v>
      </c>
      <c r="C39" s="92" t="s">
        <v>725</v>
      </c>
      <c r="D39" s="204" t="s">
        <v>1172</v>
      </c>
      <c r="E39" s="48" t="s">
        <v>762</v>
      </c>
      <c r="F39" s="47">
        <v>4.8899999999999997</v>
      </c>
      <c r="G39" s="224">
        <v>165</v>
      </c>
      <c r="H39" s="224">
        <f>ROUNDUP(Tabela17[[#This Row],[PRICE]]*(1+PRICES!$C$7),0)</f>
        <v>198</v>
      </c>
      <c r="I39" s="175">
        <v>0.15</v>
      </c>
      <c r="J39" s="49">
        <f>Tabela17[[#This Row],[PRICE]]*Tabela17[[#This Row],[DISCOUNT per piece '[%']]]</f>
        <v>24.75</v>
      </c>
      <c r="K39" s="49">
        <f>Tabela17[[#This Row],[PRICE]]*(1-Tabela17[[#This Row],[DISCOUNT per piece '[%']]])</f>
        <v>140.25</v>
      </c>
      <c r="L39" s="178">
        <f>Tabela17[[#This Row],[PCS]]*Tabela17[[#This Row],[PROMOTIONAL PRICE]]</f>
        <v>0</v>
      </c>
      <c r="M39" s="497" cm="1">
        <f t="array" ref="M39">ROUNDUP(Tabela17[[#This Row],[NEW PRICE]]*eurofxref_daily[],2)</f>
        <v>318.55</v>
      </c>
      <c r="N39" s="506">
        <f>Tabela17[[#This Row],[CAD PRICE]]*O39</f>
        <v>0</v>
      </c>
      <c r="O39" s="62">
        <f>SUM(Tabela17[[#This Row],[RAL 1023]:[Custom made colour (7% add price)]])</f>
        <v>0</v>
      </c>
      <c r="P39" s="62">
        <f>Tabela17[[#This Row],[PCS]]*Tabela17[[#This Row],[Weight (kg)]]</f>
        <v>0</v>
      </c>
      <c r="Q39" s="481"/>
      <c r="R39" s="486"/>
      <c r="S39" s="466"/>
      <c r="T39" s="435"/>
      <c r="U39" s="467"/>
      <c r="V39" s="468"/>
      <c r="W39" s="436"/>
      <c r="X39" s="470"/>
      <c r="Y39" s="469"/>
      <c r="Z39" s="449"/>
      <c r="AA39" s="83"/>
      <c r="AB39" s="206"/>
      <c r="AD39" s="30"/>
      <c r="AE39" s="30"/>
      <c r="AF39" s="30"/>
      <c r="AG39" s="30"/>
      <c r="AH39" s="30"/>
    </row>
    <row r="40" spans="2:34" ht="12" customHeight="1" thickBot="1" x14ac:dyDescent="0.25">
      <c r="B40" s="29" t="s">
        <v>747</v>
      </c>
      <c r="C40" s="92" t="s">
        <v>726</v>
      </c>
      <c r="D40" s="204" t="s">
        <v>1173</v>
      </c>
      <c r="E40" s="48" t="s">
        <v>763</v>
      </c>
      <c r="F40" s="47">
        <v>3.2</v>
      </c>
      <c r="G40" s="224">
        <v>144</v>
      </c>
      <c r="H40" s="224">
        <f>ROUNDUP(Tabela17[[#This Row],[PRICE]]*(1+PRICES!$C$7),0)</f>
        <v>173</v>
      </c>
      <c r="I40" s="175">
        <v>0.15</v>
      </c>
      <c r="J40" s="49">
        <f>Tabela17[[#This Row],[PRICE]]*Tabela17[[#This Row],[DISCOUNT per piece '[%']]]</f>
        <v>21.599999999999998</v>
      </c>
      <c r="K40" s="49">
        <f>Tabela17[[#This Row],[PRICE]]*(1-Tabela17[[#This Row],[DISCOUNT per piece '[%']]])</f>
        <v>122.39999999999999</v>
      </c>
      <c r="L40" s="178">
        <f>Tabela17[[#This Row],[PCS]]*Tabela17[[#This Row],[PROMOTIONAL PRICE]]</f>
        <v>0</v>
      </c>
      <c r="M40" s="497" cm="1">
        <f t="array" ref="M40">ROUNDUP(Tabela17[[#This Row],[NEW PRICE]]*eurofxref_daily[],2)</f>
        <v>278.33</v>
      </c>
      <c r="N40" s="506">
        <f>Tabela17[[#This Row],[CAD PRICE]]*O40</f>
        <v>0</v>
      </c>
      <c r="O40" s="62">
        <f>SUM(Tabela17[[#This Row],[RAL 1023]:[Custom made colour (7% add price)]])</f>
        <v>0</v>
      </c>
      <c r="P40" s="62">
        <f>Tabela17[[#This Row],[PCS]]*Tabela17[[#This Row],[Weight (kg)]]</f>
        <v>0</v>
      </c>
      <c r="Q40" s="481"/>
      <c r="R40" s="486"/>
      <c r="S40" s="466"/>
      <c r="T40" s="435"/>
      <c r="U40" s="467"/>
      <c r="V40" s="468"/>
      <c r="W40" s="436"/>
      <c r="X40" s="470"/>
      <c r="Y40" s="469"/>
      <c r="Z40" s="449"/>
      <c r="AA40" s="83"/>
      <c r="AB40" s="206"/>
      <c r="AD40" s="30"/>
      <c r="AE40" s="30"/>
      <c r="AF40" s="30"/>
      <c r="AG40" s="30"/>
      <c r="AH40" s="30"/>
    </row>
    <row r="41" spans="2:34" ht="12" customHeight="1" thickBot="1" x14ac:dyDescent="0.25">
      <c r="B41" s="29" t="s">
        <v>748</v>
      </c>
      <c r="C41" s="92" t="s">
        <v>727</v>
      </c>
      <c r="D41" s="204" t="s">
        <v>1174</v>
      </c>
      <c r="E41" s="48" t="s">
        <v>764</v>
      </c>
      <c r="F41" s="47">
        <v>6.38</v>
      </c>
      <c r="G41" s="224">
        <v>202</v>
      </c>
      <c r="H41" s="224">
        <f>ROUNDUP(Tabela17[[#This Row],[PRICE]]*(1+PRICES!$C$7),0)</f>
        <v>243</v>
      </c>
      <c r="I41" s="175">
        <v>0.15</v>
      </c>
      <c r="J41" s="49">
        <f>Tabela17[[#This Row],[PRICE]]*Tabela17[[#This Row],[DISCOUNT per piece '[%']]]</f>
        <v>30.299999999999997</v>
      </c>
      <c r="K41" s="49">
        <f>Tabela17[[#This Row],[PRICE]]*(1-Tabela17[[#This Row],[DISCOUNT per piece '[%']]])</f>
        <v>171.7</v>
      </c>
      <c r="L41" s="178">
        <f>Tabela17[[#This Row],[PCS]]*Tabela17[[#This Row],[PROMOTIONAL PRICE]]</f>
        <v>0</v>
      </c>
      <c r="M41" s="497" cm="1">
        <f t="array" ref="M41">ROUNDUP(Tabela17[[#This Row],[NEW PRICE]]*eurofxref_daily[],2)</f>
        <v>390.94</v>
      </c>
      <c r="N41" s="506">
        <f>Tabela17[[#This Row],[CAD PRICE]]*O41</f>
        <v>0</v>
      </c>
      <c r="O41" s="62">
        <f>SUM(Tabela17[[#This Row],[RAL 1023]:[Custom made colour (7% add price)]])</f>
        <v>0</v>
      </c>
      <c r="P41" s="62">
        <f>Tabela17[[#This Row],[PCS]]*Tabela17[[#This Row],[Weight (kg)]]</f>
        <v>0</v>
      </c>
      <c r="Q41" s="481"/>
      <c r="R41" s="486"/>
      <c r="S41" s="466"/>
      <c r="T41" s="435"/>
      <c r="U41" s="467"/>
      <c r="V41" s="468"/>
      <c r="W41" s="436"/>
      <c r="X41" s="470"/>
      <c r="Y41" s="469"/>
      <c r="Z41" s="449"/>
      <c r="AA41" s="83"/>
      <c r="AB41" s="206"/>
      <c r="AD41" s="30"/>
      <c r="AE41" s="30"/>
      <c r="AF41" s="30"/>
      <c r="AG41" s="30"/>
      <c r="AH41" s="30"/>
    </row>
    <row r="42" spans="2:34" ht="12" customHeight="1" thickBot="1" x14ac:dyDescent="0.25">
      <c r="B42" s="29" t="s">
        <v>749</v>
      </c>
      <c r="C42" s="92" t="s">
        <v>728</v>
      </c>
      <c r="D42" s="204" t="s">
        <v>1175</v>
      </c>
      <c r="E42" s="48" t="s">
        <v>765</v>
      </c>
      <c r="F42" s="47">
        <v>14.81</v>
      </c>
      <c r="G42" s="224">
        <v>340</v>
      </c>
      <c r="H42" s="224">
        <f>ROUNDUP(Tabela17[[#This Row],[PRICE]]*(1+PRICES!$C$7),0)</f>
        <v>408</v>
      </c>
      <c r="I42" s="175">
        <v>0.15</v>
      </c>
      <c r="J42" s="49">
        <f>Tabela17[[#This Row],[PRICE]]*Tabela17[[#This Row],[DISCOUNT per piece '[%']]]</f>
        <v>51</v>
      </c>
      <c r="K42" s="49">
        <f>Tabela17[[#This Row],[PRICE]]*(1-Tabela17[[#This Row],[DISCOUNT per piece '[%']]])</f>
        <v>289</v>
      </c>
      <c r="L42" s="178">
        <f>Tabela17[[#This Row],[PCS]]*Tabela17[[#This Row],[PROMOTIONAL PRICE]]</f>
        <v>0</v>
      </c>
      <c r="M42" s="497" cm="1">
        <f t="array" ref="M42">ROUNDUP(Tabela17[[#This Row],[NEW PRICE]]*eurofxref_daily[],2)</f>
        <v>656.4</v>
      </c>
      <c r="N42" s="506">
        <f>Tabela17[[#This Row],[CAD PRICE]]*O42</f>
        <v>0</v>
      </c>
      <c r="O42" s="62">
        <f>SUM(Tabela17[[#This Row],[RAL 1023]:[Custom made colour (7% add price)]])</f>
        <v>0</v>
      </c>
      <c r="P42" s="62">
        <f>Tabela17[[#This Row],[PCS]]*Tabela17[[#This Row],[Weight (kg)]]</f>
        <v>0</v>
      </c>
      <c r="Q42" s="481"/>
      <c r="R42" s="486"/>
      <c r="S42" s="466"/>
      <c r="T42" s="435"/>
      <c r="U42" s="467"/>
      <c r="V42" s="468"/>
      <c r="W42" s="436"/>
      <c r="X42" s="470"/>
      <c r="Y42" s="469"/>
      <c r="Z42" s="449"/>
      <c r="AA42" s="83"/>
      <c r="AB42" s="206"/>
      <c r="AD42" s="30"/>
      <c r="AE42" s="30"/>
      <c r="AF42" s="30"/>
      <c r="AG42" s="30"/>
      <c r="AH42" s="30"/>
    </row>
    <row r="43" spans="2:34" ht="12" customHeight="1" thickBot="1" x14ac:dyDescent="0.25">
      <c r="B43" s="29" t="s">
        <v>750</v>
      </c>
      <c r="C43" s="92" t="s">
        <v>729</v>
      </c>
      <c r="D43" s="204" t="s">
        <v>1176</v>
      </c>
      <c r="E43" s="48" t="s">
        <v>707</v>
      </c>
      <c r="F43" s="47">
        <v>16.2</v>
      </c>
      <c r="G43" s="224">
        <v>228</v>
      </c>
      <c r="H43" s="224">
        <f>ROUNDUP(Tabela17[[#This Row],[PRICE]]*(1+PRICES!$C$7),0)</f>
        <v>274</v>
      </c>
      <c r="I43" s="175">
        <v>0.15</v>
      </c>
      <c r="J43" s="49">
        <f>Tabela17[[#This Row],[PRICE]]*Tabela17[[#This Row],[DISCOUNT per piece '[%']]]</f>
        <v>34.199999999999996</v>
      </c>
      <c r="K43" s="49">
        <f>Tabela17[[#This Row],[PRICE]]*(1-Tabela17[[#This Row],[DISCOUNT per piece '[%']]])</f>
        <v>193.79999999999998</v>
      </c>
      <c r="L43" s="178">
        <f>Tabela17[[#This Row],[PCS]]*Tabela17[[#This Row],[PROMOTIONAL PRICE]]</f>
        <v>0</v>
      </c>
      <c r="M43" s="497" cm="1">
        <f t="array" ref="M43">ROUNDUP(Tabela17[[#This Row],[NEW PRICE]]*eurofxref_daily[],2)</f>
        <v>440.82</v>
      </c>
      <c r="N43" s="506">
        <f>Tabela17[[#This Row],[CAD PRICE]]*O43</f>
        <v>0</v>
      </c>
      <c r="O43" s="62">
        <f>SUM(Tabela17[[#This Row],[RAL 1023]:[Custom made colour (7% add price)]])</f>
        <v>0</v>
      </c>
      <c r="P43" s="62">
        <f>Tabela17[[#This Row],[PCS]]*Tabela17[[#This Row],[Weight (kg)]]</f>
        <v>0</v>
      </c>
      <c r="Q43" s="481"/>
      <c r="R43" s="486"/>
      <c r="S43" s="466"/>
      <c r="T43" s="435"/>
      <c r="U43" s="467"/>
      <c r="V43" s="468"/>
      <c r="W43" s="436"/>
      <c r="X43" s="470"/>
      <c r="Y43" s="469"/>
      <c r="Z43" s="449"/>
      <c r="AA43" s="83"/>
      <c r="AB43" s="206"/>
      <c r="AD43" s="30"/>
      <c r="AE43" s="30"/>
      <c r="AF43" s="30"/>
      <c r="AG43" s="30"/>
      <c r="AH43" s="30"/>
    </row>
    <row r="44" spans="2:34" ht="12" customHeight="1" thickBot="1" x14ac:dyDescent="0.25">
      <c r="B44" s="29" t="s">
        <v>751</v>
      </c>
      <c r="C44" s="92" t="s">
        <v>730</v>
      </c>
      <c r="D44" s="204" t="s">
        <v>1177</v>
      </c>
      <c r="E44" s="48" t="s">
        <v>712</v>
      </c>
      <c r="F44" s="47">
        <v>8.1</v>
      </c>
      <c r="G44" s="224">
        <v>170</v>
      </c>
      <c r="H44" s="224">
        <f>ROUNDUP(Tabela17[[#This Row],[PRICE]]*(1+PRICES!$C$7),0)</f>
        <v>204</v>
      </c>
      <c r="I44" s="175">
        <v>0.15</v>
      </c>
      <c r="J44" s="49">
        <f>Tabela17[[#This Row],[PRICE]]*Tabela17[[#This Row],[DISCOUNT per piece '[%']]]</f>
        <v>25.5</v>
      </c>
      <c r="K44" s="49">
        <f>Tabela17[[#This Row],[PRICE]]*(1-Tabela17[[#This Row],[DISCOUNT per piece '[%']]])</f>
        <v>144.5</v>
      </c>
      <c r="L44" s="178">
        <f>Tabela17[[#This Row],[PCS]]*Tabela17[[#This Row],[PROMOTIONAL PRICE]]</f>
        <v>0</v>
      </c>
      <c r="M44" s="497" cm="1">
        <f t="array" ref="M44">ROUNDUP(Tabela17[[#This Row],[NEW PRICE]]*eurofxref_daily[],2)</f>
        <v>328.2</v>
      </c>
      <c r="N44" s="506">
        <f>Tabela17[[#This Row],[CAD PRICE]]*O44</f>
        <v>0</v>
      </c>
      <c r="O44" s="62">
        <f>SUM(Tabela17[[#This Row],[RAL 1023]:[Custom made colour (7% add price)]])</f>
        <v>0</v>
      </c>
      <c r="P44" s="62">
        <f>Tabela17[[#This Row],[PCS]]*Tabela17[[#This Row],[Weight (kg)]]</f>
        <v>0</v>
      </c>
      <c r="Q44" s="481"/>
      <c r="R44" s="486"/>
      <c r="S44" s="466"/>
      <c r="T44" s="435"/>
      <c r="U44" s="467"/>
      <c r="V44" s="468"/>
      <c r="W44" s="436"/>
      <c r="X44" s="470"/>
      <c r="Y44" s="469"/>
      <c r="Z44" s="449"/>
      <c r="AA44" s="83"/>
      <c r="AB44" s="206"/>
      <c r="AD44" s="30"/>
      <c r="AE44" s="30"/>
      <c r="AF44" s="30"/>
      <c r="AG44" s="30"/>
      <c r="AH44" s="30"/>
    </row>
    <row r="45" spans="2:34" ht="12" customHeight="1" thickBot="1" x14ac:dyDescent="0.25">
      <c r="B45" s="29" t="s">
        <v>752</v>
      </c>
      <c r="C45" s="92" t="s">
        <v>731</v>
      </c>
      <c r="D45" s="204" t="s">
        <v>1178</v>
      </c>
      <c r="E45" s="48" t="s">
        <v>766</v>
      </c>
      <c r="F45" s="47">
        <v>4.5599999999999996</v>
      </c>
      <c r="G45" s="224">
        <v>111</v>
      </c>
      <c r="H45" s="224">
        <f>ROUNDUP(Tabela17[[#This Row],[PRICE]]*(1+PRICES!$C$7),0)</f>
        <v>134</v>
      </c>
      <c r="I45" s="175">
        <v>0.15</v>
      </c>
      <c r="J45" s="49">
        <f>Tabela17[[#This Row],[PRICE]]*Tabela17[[#This Row],[DISCOUNT per piece '[%']]]</f>
        <v>16.649999999999999</v>
      </c>
      <c r="K45" s="49">
        <f>Tabela17[[#This Row],[PRICE]]*(1-Tabela17[[#This Row],[DISCOUNT per piece '[%']]])</f>
        <v>94.35</v>
      </c>
      <c r="L45" s="178">
        <f>Tabela17[[#This Row],[PCS]]*Tabela17[[#This Row],[PROMOTIONAL PRICE]]</f>
        <v>0</v>
      </c>
      <c r="M45" s="497" cm="1">
        <f t="array" ref="M45">ROUNDUP(Tabela17[[#This Row],[NEW PRICE]]*eurofxref_daily[],2)</f>
        <v>215.57999999999998</v>
      </c>
      <c r="N45" s="506">
        <f>Tabela17[[#This Row],[CAD PRICE]]*O45</f>
        <v>0</v>
      </c>
      <c r="O45" s="62">
        <f>SUM(Tabela17[[#This Row],[RAL 1023]:[Custom made colour (7% add price)]])</f>
        <v>0</v>
      </c>
      <c r="P45" s="62">
        <f>Tabela17[[#This Row],[PCS]]*Tabela17[[#This Row],[Weight (kg)]]</f>
        <v>0</v>
      </c>
      <c r="Q45" s="481"/>
      <c r="R45" s="486"/>
      <c r="S45" s="466"/>
      <c r="T45" s="435"/>
      <c r="U45" s="467"/>
      <c r="V45" s="468"/>
      <c r="W45" s="436"/>
      <c r="X45" s="470"/>
      <c r="Y45" s="469"/>
      <c r="Z45" s="449"/>
      <c r="AA45" s="83"/>
      <c r="AB45" s="206"/>
      <c r="AD45" s="30"/>
      <c r="AE45" s="30"/>
      <c r="AF45" s="30"/>
      <c r="AG45" s="30"/>
      <c r="AH45" s="30"/>
    </row>
    <row r="46" spans="2:34" ht="12" customHeight="1" thickBot="1" x14ac:dyDescent="0.25">
      <c r="B46" s="29" t="s">
        <v>753</v>
      </c>
      <c r="C46" s="92" t="s">
        <v>732</v>
      </c>
      <c r="D46" s="204" t="s">
        <v>1179</v>
      </c>
      <c r="E46" s="48" t="s">
        <v>701</v>
      </c>
      <c r="F46" s="47">
        <v>5.07</v>
      </c>
      <c r="G46" s="224">
        <v>112</v>
      </c>
      <c r="H46" s="224">
        <f>ROUNDUP(Tabela17[[#This Row],[PRICE]]*(1+PRICES!$C$7),0)</f>
        <v>135</v>
      </c>
      <c r="I46" s="175">
        <v>0.15</v>
      </c>
      <c r="J46" s="49">
        <f>Tabela17[[#This Row],[PRICE]]*Tabela17[[#This Row],[DISCOUNT per piece '[%']]]</f>
        <v>16.8</v>
      </c>
      <c r="K46" s="49">
        <f>Tabela17[[#This Row],[PRICE]]*(1-Tabela17[[#This Row],[DISCOUNT per piece '[%']]])</f>
        <v>95.2</v>
      </c>
      <c r="L46" s="178">
        <f>Tabela17[[#This Row],[PCS]]*Tabela17[[#This Row],[PROMOTIONAL PRICE]]</f>
        <v>0</v>
      </c>
      <c r="M46" s="497" cm="1">
        <f t="array" ref="M46">ROUNDUP(Tabela17[[#This Row],[NEW PRICE]]*eurofxref_daily[],2)</f>
        <v>217.19</v>
      </c>
      <c r="N46" s="506">
        <f>Tabela17[[#This Row],[CAD PRICE]]*O46</f>
        <v>0</v>
      </c>
      <c r="O46" s="62">
        <f>SUM(Tabela17[[#This Row],[RAL 1023]:[Custom made colour (7% add price)]])</f>
        <v>0</v>
      </c>
      <c r="P46" s="62">
        <f>Tabela17[[#This Row],[PCS]]*Tabela17[[#This Row],[Weight (kg)]]</f>
        <v>0</v>
      </c>
      <c r="Q46" s="481"/>
      <c r="R46" s="486"/>
      <c r="S46" s="466"/>
      <c r="T46" s="435"/>
      <c r="U46" s="467"/>
      <c r="V46" s="468"/>
      <c r="W46" s="436"/>
      <c r="X46" s="470"/>
      <c r="Y46" s="469"/>
      <c r="Z46" s="449"/>
      <c r="AA46" s="83"/>
      <c r="AB46" s="206"/>
      <c r="AD46" s="30"/>
      <c r="AE46" s="30"/>
      <c r="AF46" s="30"/>
      <c r="AG46" s="30"/>
      <c r="AH46" s="30"/>
    </row>
    <row r="47" spans="2:34" ht="12" customHeight="1" thickBot="1" x14ac:dyDescent="0.25">
      <c r="B47" s="29" t="s">
        <v>754</v>
      </c>
      <c r="C47" s="92" t="s">
        <v>733</v>
      </c>
      <c r="D47" s="204" t="s">
        <v>1180</v>
      </c>
      <c r="E47" s="48" t="s">
        <v>767</v>
      </c>
      <c r="F47" s="47">
        <v>28.11</v>
      </c>
      <c r="G47" s="224">
        <v>573</v>
      </c>
      <c r="H47" s="224">
        <f>ROUNDUP(Tabela17[[#This Row],[PRICE]]*(1+PRICES!$C$7),0)</f>
        <v>688</v>
      </c>
      <c r="I47" s="175">
        <v>0.15</v>
      </c>
      <c r="J47" s="49">
        <f>Tabela17[[#This Row],[PRICE]]*Tabela17[[#This Row],[DISCOUNT per piece '[%']]]</f>
        <v>85.95</v>
      </c>
      <c r="K47" s="49">
        <f>Tabela17[[#This Row],[PRICE]]*(1-Tabela17[[#This Row],[DISCOUNT per piece '[%']]])</f>
        <v>487.05</v>
      </c>
      <c r="L47" s="178">
        <f>Tabela17[[#This Row],[PCS]]*Tabela17[[#This Row],[PROMOTIONAL PRICE]]</f>
        <v>0</v>
      </c>
      <c r="M47" s="497" cm="1">
        <f t="array" ref="M47">ROUNDUP(Tabela17[[#This Row],[NEW PRICE]]*eurofxref_daily[],2)</f>
        <v>1106.8599999999999</v>
      </c>
      <c r="N47" s="506">
        <f>Tabela17[[#This Row],[CAD PRICE]]*O47</f>
        <v>0</v>
      </c>
      <c r="O47" s="62">
        <f>SUM(Tabela17[[#This Row],[RAL 1023]:[Custom made colour (7% add price)]])</f>
        <v>0</v>
      </c>
      <c r="P47" s="62">
        <f>Tabela17[[#This Row],[PCS]]*Tabela17[[#This Row],[Weight (kg)]]</f>
        <v>0</v>
      </c>
      <c r="Q47" s="481"/>
      <c r="R47" s="486"/>
      <c r="S47" s="466"/>
      <c r="T47" s="435"/>
      <c r="U47" s="467"/>
      <c r="V47" s="468"/>
      <c r="W47" s="436"/>
      <c r="X47" s="470"/>
      <c r="Y47" s="469"/>
      <c r="Z47" s="449"/>
      <c r="AA47" s="82"/>
      <c r="AB47" s="206"/>
      <c r="AD47" s="30"/>
      <c r="AE47" s="30"/>
      <c r="AF47" s="30"/>
      <c r="AG47" s="30"/>
      <c r="AH47" s="30"/>
    </row>
    <row r="48" spans="2:34" ht="12" customHeight="1" thickBot="1" x14ac:dyDescent="0.25">
      <c r="B48" s="29" t="s">
        <v>755</v>
      </c>
      <c r="C48" s="92" t="s">
        <v>734</v>
      </c>
      <c r="D48" s="204" t="s">
        <v>1181</v>
      </c>
      <c r="E48" s="48" t="s">
        <v>768</v>
      </c>
      <c r="F48" s="47">
        <v>13.86</v>
      </c>
      <c r="G48" s="224">
        <v>403</v>
      </c>
      <c r="H48" s="224">
        <f>ROUNDUP(Tabela17[[#This Row],[PRICE]]*(1+PRICES!$C$7),0)</f>
        <v>484</v>
      </c>
      <c r="I48" s="175">
        <v>0.15</v>
      </c>
      <c r="J48" s="49">
        <f>Tabela17[[#This Row],[PRICE]]*Tabela17[[#This Row],[DISCOUNT per piece '[%']]]</f>
        <v>60.449999999999996</v>
      </c>
      <c r="K48" s="49">
        <f>Tabela17[[#This Row],[PRICE]]*(1-Tabela17[[#This Row],[DISCOUNT per piece '[%']]])</f>
        <v>342.55</v>
      </c>
      <c r="L48" s="178">
        <f>Tabela17[[#This Row],[PCS]]*Tabela17[[#This Row],[PROMOTIONAL PRICE]]</f>
        <v>0</v>
      </c>
      <c r="M48" s="497" cm="1">
        <f t="array" ref="M48">ROUNDUP(Tabela17[[#This Row],[NEW PRICE]]*eurofxref_daily[],2)</f>
        <v>778.66</v>
      </c>
      <c r="N48" s="506">
        <f>Tabela17[[#This Row],[CAD PRICE]]*O48</f>
        <v>0</v>
      </c>
      <c r="O48" s="62">
        <f>SUM(Tabela17[[#This Row],[RAL 1023]:[Custom made colour (7% add price)]])</f>
        <v>0</v>
      </c>
      <c r="P48" s="62">
        <f>Tabela17[[#This Row],[PCS]]*Tabela17[[#This Row],[Weight (kg)]]</f>
        <v>0</v>
      </c>
      <c r="Q48" s="481"/>
      <c r="R48" s="486"/>
      <c r="S48" s="466"/>
      <c r="T48" s="435"/>
      <c r="U48" s="467"/>
      <c r="V48" s="468"/>
      <c r="W48" s="436"/>
      <c r="X48" s="470"/>
      <c r="Y48" s="469"/>
      <c r="Z48" s="449"/>
      <c r="AA48" s="82"/>
      <c r="AB48" s="206"/>
      <c r="AD48" s="30"/>
      <c r="AE48" s="30"/>
      <c r="AF48" s="30"/>
      <c r="AG48" s="30"/>
      <c r="AH48" s="30"/>
    </row>
    <row r="49" spans="2:34" ht="12" customHeight="1" thickBot="1" x14ac:dyDescent="0.25">
      <c r="B49" s="29" t="s">
        <v>756</v>
      </c>
      <c r="C49" s="92" t="s">
        <v>735</v>
      </c>
      <c r="D49" s="204" t="s">
        <v>1182</v>
      </c>
      <c r="E49" s="48" t="s">
        <v>769</v>
      </c>
      <c r="F49" s="47">
        <v>7.28</v>
      </c>
      <c r="G49" s="224">
        <v>170</v>
      </c>
      <c r="H49" s="224">
        <f>ROUNDUP(Tabela17[[#This Row],[PRICE]]*(1+PRICES!$C$7),0)</f>
        <v>204</v>
      </c>
      <c r="I49" s="175">
        <v>0.15</v>
      </c>
      <c r="J49" s="49">
        <f>Tabela17[[#This Row],[PRICE]]*Tabela17[[#This Row],[DISCOUNT per piece '[%']]]</f>
        <v>25.5</v>
      </c>
      <c r="K49" s="49">
        <f>Tabela17[[#This Row],[PRICE]]*(1-Tabela17[[#This Row],[DISCOUNT per piece '[%']]])</f>
        <v>144.5</v>
      </c>
      <c r="L49" s="178">
        <f>Tabela17[[#This Row],[PCS]]*Tabela17[[#This Row],[PROMOTIONAL PRICE]]</f>
        <v>0</v>
      </c>
      <c r="M49" s="497" cm="1">
        <f t="array" ref="M49">ROUNDUP(Tabela17[[#This Row],[NEW PRICE]]*eurofxref_daily[],2)</f>
        <v>328.2</v>
      </c>
      <c r="N49" s="506">
        <f>Tabela17[[#This Row],[CAD PRICE]]*O49</f>
        <v>0</v>
      </c>
      <c r="O49" s="62">
        <f>SUM(Tabela17[[#This Row],[RAL 1023]:[Custom made colour (7% add price)]])</f>
        <v>0</v>
      </c>
      <c r="P49" s="62">
        <f>Tabela17[[#This Row],[PCS]]*Tabela17[[#This Row],[Weight (kg)]]</f>
        <v>0</v>
      </c>
      <c r="Q49" s="481"/>
      <c r="R49" s="486"/>
      <c r="S49" s="466"/>
      <c r="T49" s="435"/>
      <c r="U49" s="467"/>
      <c r="V49" s="468"/>
      <c r="W49" s="436"/>
      <c r="X49" s="470"/>
      <c r="Y49" s="469"/>
      <c r="Z49" s="449"/>
      <c r="AA49" s="82"/>
      <c r="AB49" s="206"/>
      <c r="AD49" s="30"/>
      <c r="AE49" s="30"/>
      <c r="AF49" s="30"/>
      <c r="AG49" s="30"/>
      <c r="AH49" s="30"/>
    </row>
    <row r="50" spans="2:34" ht="12" customHeight="1" thickBot="1" x14ac:dyDescent="0.25">
      <c r="B50" s="122" t="s">
        <v>770</v>
      </c>
      <c r="C50" s="151" t="s">
        <v>1133</v>
      </c>
      <c r="D50" s="126"/>
      <c r="E50" s="124"/>
      <c r="F50" s="124"/>
      <c r="G50" s="358"/>
      <c r="H50" s="124"/>
      <c r="I50" s="124"/>
      <c r="J50" s="124"/>
      <c r="K50" s="124"/>
      <c r="L50" s="124"/>
      <c r="M50" s="124"/>
      <c r="N50" s="124"/>
      <c r="O50" s="124"/>
      <c r="P50" s="140"/>
      <c r="Q50" s="201"/>
      <c r="R50" s="201"/>
      <c r="S50" s="201"/>
      <c r="T50" s="201"/>
      <c r="U50" s="201"/>
      <c r="V50" s="201"/>
      <c r="W50" s="201"/>
      <c r="X50" s="201"/>
      <c r="Y50" s="456"/>
      <c r="Z50" s="453"/>
      <c r="AA50" s="81"/>
      <c r="AB50" s="202"/>
      <c r="AD50" s="30"/>
      <c r="AE50" s="30"/>
      <c r="AF50" s="30"/>
      <c r="AG50" s="30"/>
      <c r="AH50" s="30"/>
    </row>
    <row r="51" spans="2:34" ht="12" customHeight="1" thickBot="1" x14ac:dyDescent="0.25">
      <c r="B51" s="29" t="s">
        <v>777</v>
      </c>
      <c r="C51" s="92" t="s">
        <v>771</v>
      </c>
      <c r="D51" s="204" t="s">
        <v>1183</v>
      </c>
      <c r="E51" s="48" t="s">
        <v>783</v>
      </c>
      <c r="F51" s="47">
        <v>4.84</v>
      </c>
      <c r="G51" s="224">
        <v>181</v>
      </c>
      <c r="H51" s="224">
        <f>ROUNDUP(Tabela17[[#This Row],[PRICE]]*(1+PRICES!$C$7),0)</f>
        <v>218</v>
      </c>
      <c r="I51" s="175">
        <v>0.15</v>
      </c>
      <c r="J51" s="49">
        <f>Tabela17[[#This Row],[PRICE]]*Tabela17[[#This Row],[DISCOUNT per piece '[%']]]</f>
        <v>27.15</v>
      </c>
      <c r="K51" s="49">
        <f>Tabela17[[#This Row],[PRICE]]*(1-Tabela17[[#This Row],[DISCOUNT per piece '[%']]])</f>
        <v>153.85</v>
      </c>
      <c r="L51" s="178">
        <f>Tabela17[[#This Row],[PCS]]*Tabela17[[#This Row],[PROMOTIONAL PRICE]]</f>
        <v>0</v>
      </c>
      <c r="M51" s="497" cm="1">
        <f t="array" ref="M51">ROUNDUP(Tabela17[[#This Row],[NEW PRICE]]*eurofxref_daily[],2)</f>
        <v>350.71999999999997</v>
      </c>
      <c r="N51" s="506">
        <f>Tabela17[[#This Row],[CAD PRICE]]*O51</f>
        <v>0</v>
      </c>
      <c r="O51" s="62">
        <f>SUM(Tabela17[[#This Row],[RAL 1023]:[Custom made colour (7% add price)]])</f>
        <v>0</v>
      </c>
      <c r="P51" s="62">
        <f>Tabela17[[#This Row],[PCS]]*Tabela17[[#This Row],[Weight (kg)]]</f>
        <v>0</v>
      </c>
      <c r="Q51" s="481"/>
      <c r="R51" s="486"/>
      <c r="S51" s="466"/>
      <c r="T51" s="435"/>
      <c r="U51" s="467"/>
      <c r="V51" s="468"/>
      <c r="W51" s="436"/>
      <c r="X51" s="470"/>
      <c r="Y51" s="469"/>
      <c r="Z51" s="449"/>
      <c r="AA51" s="82"/>
      <c r="AB51" s="206"/>
      <c r="AD51" s="30"/>
      <c r="AE51" s="30"/>
      <c r="AF51" s="30"/>
      <c r="AG51" s="30"/>
      <c r="AH51" s="30"/>
    </row>
    <row r="52" spans="2:34" ht="12" customHeight="1" thickBot="1" x14ac:dyDescent="0.25">
      <c r="B52" s="29" t="s">
        <v>778</v>
      </c>
      <c r="C52" s="92" t="s">
        <v>772</v>
      </c>
      <c r="D52" s="204" t="s">
        <v>1184</v>
      </c>
      <c r="E52" s="48" t="s">
        <v>784</v>
      </c>
      <c r="F52" s="47">
        <v>5.71</v>
      </c>
      <c r="G52" s="224">
        <v>223</v>
      </c>
      <c r="H52" s="224">
        <f>ROUNDUP(Tabela17[[#This Row],[PRICE]]*(1+PRICES!$C$7),0)</f>
        <v>268</v>
      </c>
      <c r="I52" s="175">
        <v>0.15</v>
      </c>
      <c r="J52" s="49">
        <f>Tabela17[[#This Row],[PRICE]]*Tabela17[[#This Row],[DISCOUNT per piece '[%']]]</f>
        <v>33.449999999999996</v>
      </c>
      <c r="K52" s="49">
        <f>Tabela17[[#This Row],[PRICE]]*(1-Tabela17[[#This Row],[DISCOUNT per piece '[%']]])</f>
        <v>189.54999999999998</v>
      </c>
      <c r="L52" s="178">
        <f>Tabela17[[#This Row],[PCS]]*Tabela17[[#This Row],[PROMOTIONAL PRICE]]</f>
        <v>0</v>
      </c>
      <c r="M52" s="497" cm="1">
        <f t="array" ref="M52">ROUNDUP(Tabela17[[#This Row],[NEW PRICE]]*eurofxref_daily[],2)</f>
        <v>431.15999999999997</v>
      </c>
      <c r="N52" s="506">
        <f>Tabela17[[#This Row],[CAD PRICE]]*O52</f>
        <v>0</v>
      </c>
      <c r="O52" s="62">
        <f>SUM(Tabela17[[#This Row],[RAL 1023]:[Custom made colour (7% add price)]])</f>
        <v>0</v>
      </c>
      <c r="P52" s="62">
        <f>Tabela17[[#This Row],[PCS]]*Tabela17[[#This Row],[Weight (kg)]]</f>
        <v>0</v>
      </c>
      <c r="Q52" s="481"/>
      <c r="R52" s="486"/>
      <c r="S52" s="466"/>
      <c r="T52" s="435"/>
      <c r="U52" s="467"/>
      <c r="V52" s="468"/>
      <c r="W52" s="436"/>
      <c r="X52" s="470"/>
      <c r="Y52" s="469"/>
      <c r="Z52" s="449"/>
      <c r="AA52" s="82"/>
      <c r="AB52" s="206"/>
      <c r="AD52" s="30"/>
      <c r="AE52" s="30"/>
      <c r="AF52" s="30"/>
      <c r="AG52" s="30"/>
      <c r="AH52" s="30"/>
    </row>
    <row r="53" spans="2:34" ht="12" customHeight="1" thickBot="1" x14ac:dyDescent="0.25">
      <c r="B53" s="29" t="s">
        <v>779</v>
      </c>
      <c r="C53" s="92" t="s">
        <v>773</v>
      </c>
      <c r="D53" s="204" t="s">
        <v>1185</v>
      </c>
      <c r="E53" s="48" t="s">
        <v>785</v>
      </c>
      <c r="F53" s="47">
        <v>6.22</v>
      </c>
      <c r="G53" s="224">
        <v>160</v>
      </c>
      <c r="H53" s="224">
        <f>ROUNDUP(Tabela17[[#This Row],[PRICE]]*(1+PRICES!$C$7),0)</f>
        <v>192</v>
      </c>
      <c r="I53" s="175">
        <v>0.15</v>
      </c>
      <c r="J53" s="49">
        <f>Tabela17[[#This Row],[PRICE]]*Tabela17[[#This Row],[DISCOUNT per piece '[%']]]</f>
        <v>24</v>
      </c>
      <c r="K53" s="49">
        <f>Tabela17[[#This Row],[PRICE]]*(1-Tabela17[[#This Row],[DISCOUNT per piece '[%']]])</f>
        <v>136</v>
      </c>
      <c r="L53" s="178">
        <f>Tabela17[[#This Row],[PCS]]*Tabela17[[#This Row],[PROMOTIONAL PRICE]]</f>
        <v>0</v>
      </c>
      <c r="M53" s="497" cm="1">
        <f t="array" ref="M53">ROUNDUP(Tabela17[[#This Row],[NEW PRICE]]*eurofxref_daily[],2)</f>
        <v>308.89</v>
      </c>
      <c r="N53" s="506">
        <f>Tabela17[[#This Row],[CAD PRICE]]*O53</f>
        <v>0</v>
      </c>
      <c r="O53" s="62">
        <f>SUM(Tabela17[[#This Row],[RAL 1023]:[Custom made colour (7% add price)]])</f>
        <v>0</v>
      </c>
      <c r="P53" s="62">
        <f>Tabela17[[#This Row],[PCS]]*Tabela17[[#This Row],[Weight (kg)]]</f>
        <v>0</v>
      </c>
      <c r="Q53" s="481"/>
      <c r="R53" s="486"/>
      <c r="S53" s="466"/>
      <c r="T53" s="435"/>
      <c r="U53" s="467"/>
      <c r="V53" s="468"/>
      <c r="W53" s="436"/>
      <c r="X53" s="470"/>
      <c r="Y53" s="469"/>
      <c r="Z53" s="449"/>
      <c r="AA53" s="82"/>
      <c r="AB53" s="206"/>
      <c r="AD53" s="30"/>
      <c r="AE53" s="30"/>
      <c r="AF53" s="30"/>
      <c r="AG53" s="30"/>
      <c r="AH53" s="30"/>
    </row>
    <row r="54" spans="2:34" ht="12" customHeight="1" thickBot="1" x14ac:dyDescent="0.25">
      <c r="B54" s="29" t="s">
        <v>780</v>
      </c>
      <c r="C54" s="92" t="s">
        <v>774</v>
      </c>
      <c r="D54" s="204" t="s">
        <v>1186</v>
      </c>
      <c r="E54" s="78" t="s">
        <v>786</v>
      </c>
      <c r="F54" s="77">
        <v>4.59</v>
      </c>
      <c r="G54" s="224">
        <v>138</v>
      </c>
      <c r="H54" s="224">
        <f>ROUNDUP(Tabela17[[#This Row],[PRICE]]*(1+PRICES!$C$7),0)</f>
        <v>166</v>
      </c>
      <c r="I54" s="175">
        <v>0.15</v>
      </c>
      <c r="J54" s="79">
        <f>Tabela17[[#This Row],[PRICE]]*Tabela17[[#This Row],[DISCOUNT per piece '[%']]]</f>
        <v>20.7</v>
      </c>
      <c r="K54" s="79">
        <f>Tabela17[[#This Row],[PRICE]]*(1-Tabela17[[#This Row],[DISCOUNT per piece '[%']]])</f>
        <v>117.3</v>
      </c>
      <c r="L54" s="176">
        <f>Tabela17[[#This Row],[PCS]]*Tabela17[[#This Row],[PROMOTIONAL PRICE]]</f>
        <v>0</v>
      </c>
      <c r="M54" s="497" cm="1">
        <f t="array" ref="M54">ROUNDUP(Tabela17[[#This Row],[NEW PRICE]]*eurofxref_daily[],2)</f>
        <v>267.07</v>
      </c>
      <c r="N54" s="506">
        <f>Tabela17[[#This Row],[CAD PRICE]]*O54</f>
        <v>0</v>
      </c>
      <c r="O54" s="62">
        <f>SUM(Tabela17[[#This Row],[RAL 1023]:[Custom made colour (7% add price)]])</f>
        <v>0</v>
      </c>
      <c r="P54" s="62">
        <f>Tabela17[[#This Row],[PCS]]*Tabela17[[#This Row],[Weight (kg)]]</f>
        <v>0</v>
      </c>
      <c r="Q54" s="481"/>
      <c r="R54" s="486"/>
      <c r="S54" s="466"/>
      <c r="T54" s="435"/>
      <c r="U54" s="467"/>
      <c r="V54" s="468"/>
      <c r="W54" s="436"/>
      <c r="X54" s="470"/>
      <c r="Y54" s="469"/>
      <c r="Z54" s="449"/>
      <c r="AA54" s="82"/>
      <c r="AB54" s="206"/>
      <c r="AD54" s="30"/>
      <c r="AE54" s="30"/>
      <c r="AF54" s="30"/>
      <c r="AG54" s="30"/>
      <c r="AH54" s="30"/>
    </row>
    <row r="55" spans="2:34" ht="12" customHeight="1" thickBot="1" x14ac:dyDescent="0.25">
      <c r="B55" s="45" t="s">
        <v>781</v>
      </c>
      <c r="C55" s="92" t="s">
        <v>775</v>
      </c>
      <c r="D55" s="204" t="s">
        <v>1187</v>
      </c>
      <c r="E55" s="48" t="s">
        <v>785</v>
      </c>
      <c r="F55" s="47">
        <v>10.07</v>
      </c>
      <c r="G55" s="224">
        <v>185</v>
      </c>
      <c r="H55" s="224">
        <f>ROUNDUP(Tabela17[[#This Row],[PRICE]]*(1+PRICES!$C$7),0)</f>
        <v>222</v>
      </c>
      <c r="I55" s="175">
        <v>0.15</v>
      </c>
      <c r="J55" s="49">
        <f>Tabela17[[#This Row],[PRICE]]*Tabela17[[#This Row],[DISCOUNT per piece '[%']]]</f>
        <v>27.75</v>
      </c>
      <c r="K55" s="49">
        <f>Tabela17[[#This Row],[PRICE]]*(1-Tabela17[[#This Row],[DISCOUNT per piece '[%']]])</f>
        <v>157.25</v>
      </c>
      <c r="L55" s="178">
        <f>Tabela17[[#This Row],[PCS]]*Tabela17[[#This Row],[PROMOTIONAL PRICE]]</f>
        <v>0</v>
      </c>
      <c r="M55" s="497" cm="1">
        <f t="array" ref="M55">ROUNDUP(Tabela17[[#This Row],[NEW PRICE]]*eurofxref_daily[],2)</f>
        <v>357.15999999999997</v>
      </c>
      <c r="N55" s="506">
        <f>Tabela17[[#This Row],[CAD PRICE]]*O55</f>
        <v>0</v>
      </c>
      <c r="O55" s="62">
        <f>SUM(Tabela17[[#This Row],[RAL 1023]:[Custom made colour (7% add price)]])</f>
        <v>0</v>
      </c>
      <c r="P55" s="62">
        <f>Tabela17[[#This Row],[PCS]]*Tabela17[[#This Row],[Weight (kg)]]</f>
        <v>0</v>
      </c>
      <c r="Q55" s="481"/>
      <c r="R55" s="486"/>
      <c r="S55" s="466"/>
      <c r="T55" s="435"/>
      <c r="U55" s="467"/>
      <c r="V55" s="468"/>
      <c r="W55" s="436"/>
      <c r="X55" s="470"/>
      <c r="Y55" s="469"/>
      <c r="Z55" s="449"/>
      <c r="AA55" s="82"/>
      <c r="AB55" s="206"/>
      <c r="AD55" s="30"/>
      <c r="AE55" s="30"/>
      <c r="AF55" s="30"/>
      <c r="AG55" s="30"/>
      <c r="AH55" s="30"/>
    </row>
    <row r="56" spans="2:34" ht="12" customHeight="1" thickBot="1" x14ac:dyDescent="0.25">
      <c r="B56" s="29" t="s">
        <v>782</v>
      </c>
      <c r="C56" s="92" t="s">
        <v>776</v>
      </c>
      <c r="D56" s="204" t="s">
        <v>1188</v>
      </c>
      <c r="E56" s="78" t="s">
        <v>783</v>
      </c>
      <c r="F56" s="77">
        <v>3.51</v>
      </c>
      <c r="G56" s="224">
        <v>128</v>
      </c>
      <c r="H56" s="224">
        <f>ROUNDUP(Tabela17[[#This Row],[PRICE]]*(1+PRICES!$C$7),0)</f>
        <v>154</v>
      </c>
      <c r="I56" s="175">
        <v>0.15</v>
      </c>
      <c r="J56" s="79">
        <f>Tabela17[[#This Row],[PRICE]]*Tabela17[[#This Row],[DISCOUNT per piece '[%']]]</f>
        <v>19.2</v>
      </c>
      <c r="K56" s="79">
        <f>Tabela17[[#This Row],[PRICE]]*(1-Tabela17[[#This Row],[DISCOUNT per piece '[%']]])</f>
        <v>108.8</v>
      </c>
      <c r="L56" s="176">
        <f>Tabela17[[#This Row],[PCS]]*Tabela17[[#This Row],[PROMOTIONAL PRICE]]</f>
        <v>0</v>
      </c>
      <c r="M56" s="497" cm="1">
        <f t="array" ref="M56">ROUNDUP(Tabela17[[#This Row],[NEW PRICE]]*eurofxref_daily[],2)</f>
        <v>247.76</v>
      </c>
      <c r="N56" s="506">
        <f>Tabela17[[#This Row],[CAD PRICE]]*O56</f>
        <v>0</v>
      </c>
      <c r="O56" s="62">
        <f>SUM(Tabela17[[#This Row],[RAL 1023]:[Custom made colour (7% add price)]])</f>
        <v>0</v>
      </c>
      <c r="P56" s="62">
        <f>Tabela17[[#This Row],[PCS]]*Tabela17[[#This Row],[Weight (kg)]]</f>
        <v>0</v>
      </c>
      <c r="Q56" s="481"/>
      <c r="R56" s="486"/>
      <c r="S56" s="466"/>
      <c r="T56" s="435"/>
      <c r="U56" s="467"/>
      <c r="V56" s="468"/>
      <c r="W56" s="436"/>
      <c r="X56" s="470"/>
      <c r="Y56" s="469"/>
      <c r="Z56" s="449"/>
      <c r="AA56" s="82"/>
      <c r="AB56" s="206"/>
      <c r="AD56" s="30"/>
      <c r="AE56" s="30"/>
      <c r="AF56" s="30"/>
      <c r="AG56" s="30"/>
      <c r="AH56" s="30"/>
    </row>
    <row r="57" spans="2:34" ht="12" customHeight="1" thickBot="1" x14ac:dyDescent="0.25">
      <c r="B57" s="122" t="s">
        <v>787</v>
      </c>
      <c r="C57" s="151" t="s">
        <v>1134</v>
      </c>
      <c r="D57" s="126"/>
      <c r="E57" s="124"/>
      <c r="F57" s="124"/>
      <c r="G57" s="358"/>
      <c r="H57" s="124"/>
      <c r="I57" s="124"/>
      <c r="J57" s="124"/>
      <c r="K57" s="124"/>
      <c r="L57" s="124"/>
      <c r="M57" s="124"/>
      <c r="N57" s="124"/>
      <c r="O57" s="124"/>
      <c r="P57" s="140"/>
      <c r="Q57" s="201"/>
      <c r="R57" s="201"/>
      <c r="S57" s="201"/>
      <c r="T57" s="201"/>
      <c r="U57" s="201"/>
      <c r="V57" s="201"/>
      <c r="W57" s="201"/>
      <c r="X57" s="201"/>
      <c r="Y57" s="456"/>
      <c r="Z57" s="453"/>
      <c r="AA57" s="81"/>
      <c r="AB57" s="202"/>
      <c r="AD57" s="30"/>
      <c r="AE57" s="30"/>
      <c r="AF57" s="30"/>
      <c r="AG57" s="30"/>
      <c r="AH57" s="30"/>
    </row>
    <row r="58" spans="2:34" ht="12" customHeight="1" thickBot="1" x14ac:dyDescent="0.25">
      <c r="B58" s="29" t="s">
        <v>794</v>
      </c>
      <c r="C58" s="92" t="s">
        <v>788</v>
      </c>
      <c r="D58" s="207" t="s">
        <v>1189</v>
      </c>
      <c r="E58" s="78" t="s">
        <v>762</v>
      </c>
      <c r="F58" s="77">
        <v>4.47</v>
      </c>
      <c r="G58" s="224">
        <v>207</v>
      </c>
      <c r="H58" s="224">
        <f>ROUNDUP(Tabela17[[#This Row],[PRICE]]*(1+PRICES!$C$7),0)</f>
        <v>249</v>
      </c>
      <c r="I58" s="175">
        <v>0.15</v>
      </c>
      <c r="J58" s="79">
        <f>Tabela17[[#This Row],[PRICE]]*Tabela17[[#This Row],[DISCOUNT per piece '[%']]]</f>
        <v>31.049999999999997</v>
      </c>
      <c r="K58" s="79">
        <f>Tabela17[[#This Row],[PRICE]]*(1-Tabela17[[#This Row],[DISCOUNT per piece '[%']]])</f>
        <v>175.95</v>
      </c>
      <c r="L58" s="176">
        <f>Tabela17[[#This Row],[PCS]]*Tabela17[[#This Row],[PROMOTIONAL PRICE]]</f>
        <v>0</v>
      </c>
      <c r="M58" s="497" cm="1">
        <f t="array" ref="M58">ROUNDUP(Tabela17[[#This Row],[NEW PRICE]]*eurofxref_daily[],2)</f>
        <v>400.59999999999997</v>
      </c>
      <c r="N58" s="506">
        <f>Tabela17[[#This Row],[CAD PRICE]]*O58</f>
        <v>0</v>
      </c>
      <c r="O58" s="62">
        <f>SUM(Tabela17[[#This Row],[RAL 1023]:[Custom made colour (7% add price)]])</f>
        <v>0</v>
      </c>
      <c r="P58" s="62">
        <f>Tabela17[[#This Row],[PCS]]*Tabela17[[#This Row],[Weight (kg)]]</f>
        <v>0</v>
      </c>
      <c r="Q58" s="481"/>
      <c r="R58" s="486"/>
      <c r="S58" s="466"/>
      <c r="T58" s="435"/>
      <c r="U58" s="467"/>
      <c r="V58" s="468"/>
      <c r="W58" s="436"/>
      <c r="X58" s="470"/>
      <c r="Y58" s="469"/>
      <c r="Z58" s="449"/>
      <c r="AA58" s="82"/>
      <c r="AB58" s="206"/>
      <c r="AD58" s="30"/>
      <c r="AE58" s="30"/>
      <c r="AF58" s="30"/>
      <c r="AG58" s="30"/>
      <c r="AH58" s="30"/>
    </row>
    <row r="59" spans="2:34" ht="12" customHeight="1" thickBot="1" x14ac:dyDescent="0.25">
      <c r="B59" s="45" t="s">
        <v>795</v>
      </c>
      <c r="C59" s="92" t="s">
        <v>789</v>
      </c>
      <c r="D59" s="207" t="s">
        <v>1190</v>
      </c>
      <c r="E59" s="48" t="s">
        <v>762</v>
      </c>
      <c r="F59" s="47">
        <v>4.4000000000000004</v>
      </c>
      <c r="G59" s="224">
        <v>207</v>
      </c>
      <c r="H59" s="224">
        <f>ROUNDUP(Tabela17[[#This Row],[PRICE]]*(1+PRICES!$C$7),0)</f>
        <v>249</v>
      </c>
      <c r="I59" s="175">
        <v>0.15</v>
      </c>
      <c r="J59" s="49">
        <f>Tabela17[[#This Row],[PRICE]]*Tabela17[[#This Row],[DISCOUNT per piece '[%']]]</f>
        <v>31.049999999999997</v>
      </c>
      <c r="K59" s="49">
        <f>Tabela17[[#This Row],[PRICE]]*(1-Tabela17[[#This Row],[DISCOUNT per piece '[%']]])</f>
        <v>175.95</v>
      </c>
      <c r="L59" s="178">
        <f>Tabela17[[#This Row],[PCS]]*Tabela17[[#This Row],[PROMOTIONAL PRICE]]</f>
        <v>0</v>
      </c>
      <c r="M59" s="497" cm="1">
        <f t="array" ref="M59">ROUNDUP(Tabela17[[#This Row],[NEW PRICE]]*eurofxref_daily[],2)</f>
        <v>400.59999999999997</v>
      </c>
      <c r="N59" s="506">
        <f>Tabela17[[#This Row],[CAD PRICE]]*O59</f>
        <v>0</v>
      </c>
      <c r="O59" s="62">
        <f>SUM(Tabela17[[#This Row],[RAL 1023]:[Custom made colour (7% add price)]])</f>
        <v>0</v>
      </c>
      <c r="P59" s="62">
        <f>Tabela17[[#This Row],[PCS]]*Tabela17[[#This Row],[Weight (kg)]]</f>
        <v>0</v>
      </c>
      <c r="Q59" s="481"/>
      <c r="R59" s="486"/>
      <c r="S59" s="466"/>
      <c r="T59" s="435"/>
      <c r="U59" s="467"/>
      <c r="V59" s="468"/>
      <c r="W59" s="436"/>
      <c r="X59" s="470"/>
      <c r="Y59" s="469"/>
      <c r="Z59" s="449"/>
      <c r="AA59" s="82"/>
      <c r="AB59" s="206"/>
      <c r="AD59" s="30"/>
      <c r="AE59" s="30"/>
      <c r="AF59" s="30"/>
      <c r="AG59" s="30"/>
      <c r="AH59" s="30"/>
    </row>
    <row r="60" spans="2:34" ht="12" customHeight="1" thickBot="1" x14ac:dyDescent="0.25">
      <c r="B60" s="29" t="s">
        <v>796</v>
      </c>
      <c r="C60" s="92" t="s">
        <v>790</v>
      </c>
      <c r="D60" s="207" t="s">
        <v>1191</v>
      </c>
      <c r="E60" s="78" t="s">
        <v>761</v>
      </c>
      <c r="F60" s="77">
        <v>2.54</v>
      </c>
      <c r="G60" s="224">
        <v>111</v>
      </c>
      <c r="H60" s="224">
        <f>ROUNDUP(Tabela17[[#This Row],[PRICE]]*(1+PRICES!$C$7),0)</f>
        <v>134</v>
      </c>
      <c r="I60" s="175">
        <v>0.15</v>
      </c>
      <c r="J60" s="79">
        <f>Tabela17[[#This Row],[PRICE]]*Tabela17[[#This Row],[DISCOUNT per piece '[%']]]</f>
        <v>16.649999999999999</v>
      </c>
      <c r="K60" s="79">
        <f>Tabela17[[#This Row],[PRICE]]*(1-Tabela17[[#This Row],[DISCOUNT per piece '[%']]])</f>
        <v>94.35</v>
      </c>
      <c r="L60" s="176">
        <f>Tabela17[[#This Row],[PCS]]*Tabela17[[#This Row],[PROMOTIONAL PRICE]]</f>
        <v>0</v>
      </c>
      <c r="M60" s="497" cm="1">
        <f t="array" ref="M60">ROUNDUP(Tabela17[[#This Row],[NEW PRICE]]*eurofxref_daily[],2)</f>
        <v>215.57999999999998</v>
      </c>
      <c r="N60" s="506">
        <f>Tabela17[[#This Row],[CAD PRICE]]*O60</f>
        <v>0</v>
      </c>
      <c r="O60" s="62">
        <f>SUM(Tabela17[[#This Row],[RAL 1023]:[Custom made colour (7% add price)]])</f>
        <v>0</v>
      </c>
      <c r="P60" s="62">
        <f>Tabela17[[#This Row],[PCS]]*Tabela17[[#This Row],[Weight (kg)]]</f>
        <v>0</v>
      </c>
      <c r="Q60" s="481"/>
      <c r="R60" s="486"/>
      <c r="S60" s="466"/>
      <c r="T60" s="435"/>
      <c r="U60" s="467"/>
      <c r="V60" s="468"/>
      <c r="W60" s="436"/>
      <c r="X60" s="470"/>
      <c r="Y60" s="469"/>
      <c r="Z60" s="449"/>
      <c r="AA60" s="82"/>
      <c r="AB60" s="206"/>
      <c r="AD60" s="30"/>
      <c r="AE60" s="30"/>
      <c r="AF60" s="30"/>
      <c r="AG60" s="30"/>
      <c r="AH60" s="30"/>
    </row>
    <row r="61" spans="2:34" ht="12" customHeight="1" thickBot="1" x14ac:dyDescent="0.25">
      <c r="B61" s="45" t="s">
        <v>797</v>
      </c>
      <c r="C61" s="92" t="s">
        <v>791</v>
      </c>
      <c r="D61" s="207" t="s">
        <v>1192</v>
      </c>
      <c r="E61" s="48" t="s">
        <v>800</v>
      </c>
      <c r="F61" s="47">
        <v>3.28</v>
      </c>
      <c r="G61" s="224">
        <v>120</v>
      </c>
      <c r="H61" s="224">
        <f>ROUNDUP(Tabela17[[#This Row],[PRICE]]*(1+PRICES!$C$7),0)</f>
        <v>144</v>
      </c>
      <c r="I61" s="175">
        <v>0.15</v>
      </c>
      <c r="J61" s="49">
        <f>Tabela17[[#This Row],[PRICE]]*Tabela17[[#This Row],[DISCOUNT per piece '[%']]]</f>
        <v>18</v>
      </c>
      <c r="K61" s="49">
        <f>Tabela17[[#This Row],[PRICE]]*(1-Tabela17[[#This Row],[DISCOUNT per piece '[%']]])</f>
        <v>102</v>
      </c>
      <c r="L61" s="178">
        <f>Tabela17[[#This Row],[PCS]]*Tabela17[[#This Row],[PROMOTIONAL PRICE]]</f>
        <v>0</v>
      </c>
      <c r="M61" s="497" cm="1">
        <f t="array" ref="M61">ROUNDUP(Tabela17[[#This Row],[NEW PRICE]]*eurofxref_daily[],2)</f>
        <v>231.67</v>
      </c>
      <c r="N61" s="506">
        <f>Tabela17[[#This Row],[CAD PRICE]]*O61</f>
        <v>0</v>
      </c>
      <c r="O61" s="62">
        <f>SUM(Tabela17[[#This Row],[RAL 1023]:[Custom made colour (7% add price)]])</f>
        <v>0</v>
      </c>
      <c r="P61" s="62">
        <f>Tabela17[[#This Row],[PCS]]*Tabela17[[#This Row],[Weight (kg)]]</f>
        <v>0</v>
      </c>
      <c r="Q61" s="481"/>
      <c r="R61" s="486"/>
      <c r="S61" s="466"/>
      <c r="T61" s="435"/>
      <c r="U61" s="467"/>
      <c r="V61" s="468"/>
      <c r="W61" s="436"/>
      <c r="X61" s="470"/>
      <c r="Y61" s="469"/>
      <c r="Z61" s="449"/>
      <c r="AA61" s="82"/>
      <c r="AB61" s="206"/>
      <c r="AD61" s="30"/>
      <c r="AE61" s="30"/>
      <c r="AF61" s="30"/>
      <c r="AG61" s="30"/>
      <c r="AH61" s="30"/>
    </row>
    <row r="62" spans="2:34" ht="12" customHeight="1" thickBot="1" x14ac:dyDescent="0.25">
      <c r="B62" s="29" t="s">
        <v>798</v>
      </c>
      <c r="C62" s="92" t="s">
        <v>792</v>
      </c>
      <c r="D62" s="207" t="s">
        <v>1193</v>
      </c>
      <c r="E62" s="78" t="s">
        <v>801</v>
      </c>
      <c r="F62" s="77">
        <v>4.3099999999999996</v>
      </c>
      <c r="G62" s="224">
        <v>203</v>
      </c>
      <c r="H62" s="224">
        <f>ROUNDUP(Tabela17[[#This Row],[PRICE]]*(1+PRICES!$C$7),0)</f>
        <v>244</v>
      </c>
      <c r="I62" s="175">
        <v>0.15</v>
      </c>
      <c r="J62" s="79">
        <f>Tabela17[[#This Row],[PRICE]]*Tabela17[[#This Row],[DISCOUNT per piece '[%']]]</f>
        <v>30.45</v>
      </c>
      <c r="K62" s="79">
        <f>Tabela17[[#This Row],[PRICE]]*(1-Tabela17[[#This Row],[DISCOUNT per piece '[%']]])</f>
        <v>172.54999999999998</v>
      </c>
      <c r="L62" s="176">
        <f>Tabela17[[#This Row],[PCS]]*Tabela17[[#This Row],[PROMOTIONAL PRICE]]</f>
        <v>0</v>
      </c>
      <c r="M62" s="497" cm="1">
        <f t="array" ref="M62">ROUNDUP(Tabela17[[#This Row],[NEW PRICE]]*eurofxref_daily[],2)</f>
        <v>392.55</v>
      </c>
      <c r="N62" s="506">
        <f>Tabela17[[#This Row],[CAD PRICE]]*O62</f>
        <v>0</v>
      </c>
      <c r="O62" s="62">
        <f>SUM(Tabela17[[#This Row],[RAL 1023]:[Custom made colour (7% add price)]])</f>
        <v>0</v>
      </c>
      <c r="P62" s="62">
        <f>Tabela17[[#This Row],[PCS]]*Tabela17[[#This Row],[Weight (kg)]]</f>
        <v>0</v>
      </c>
      <c r="Q62" s="481"/>
      <c r="R62" s="486"/>
      <c r="S62" s="466"/>
      <c r="T62" s="435"/>
      <c r="U62" s="467"/>
      <c r="V62" s="468"/>
      <c r="W62" s="436"/>
      <c r="X62" s="470"/>
      <c r="Y62" s="469"/>
      <c r="Z62" s="449"/>
      <c r="AA62" s="82"/>
      <c r="AB62" s="206"/>
      <c r="AD62" s="30"/>
      <c r="AE62" s="30"/>
      <c r="AF62" s="30"/>
      <c r="AG62" s="30"/>
      <c r="AH62" s="30"/>
    </row>
    <row r="63" spans="2:34" ht="12" customHeight="1" thickBot="1" x14ac:dyDescent="0.25">
      <c r="B63" s="45" t="s">
        <v>799</v>
      </c>
      <c r="C63" s="92" t="s">
        <v>793</v>
      </c>
      <c r="D63" s="207" t="s">
        <v>1194</v>
      </c>
      <c r="E63" s="48" t="s">
        <v>801</v>
      </c>
      <c r="F63" s="47">
        <v>4.3099999999999996</v>
      </c>
      <c r="G63" s="224">
        <v>203</v>
      </c>
      <c r="H63" s="224">
        <f>ROUNDUP(Tabela17[[#This Row],[PRICE]]*(1+PRICES!$C$7),0)</f>
        <v>244</v>
      </c>
      <c r="I63" s="175">
        <v>0.15</v>
      </c>
      <c r="J63" s="49">
        <f>Tabela17[[#This Row],[PRICE]]*Tabela17[[#This Row],[DISCOUNT per piece '[%']]]</f>
        <v>30.45</v>
      </c>
      <c r="K63" s="49">
        <f>Tabela17[[#This Row],[PRICE]]*(1-Tabela17[[#This Row],[DISCOUNT per piece '[%']]])</f>
        <v>172.54999999999998</v>
      </c>
      <c r="L63" s="178">
        <f>Tabela17[[#This Row],[PCS]]*Tabela17[[#This Row],[PROMOTIONAL PRICE]]</f>
        <v>0</v>
      </c>
      <c r="M63" s="497" cm="1">
        <f t="array" ref="M63">ROUNDUP(Tabela17[[#This Row],[NEW PRICE]]*eurofxref_daily[],2)</f>
        <v>392.55</v>
      </c>
      <c r="N63" s="506">
        <f>Tabela17[[#This Row],[CAD PRICE]]*O63</f>
        <v>0</v>
      </c>
      <c r="O63" s="62">
        <f>SUM(Tabela17[[#This Row],[RAL 1023]:[Custom made colour (7% add price)]])</f>
        <v>0</v>
      </c>
      <c r="P63" s="62">
        <f>Tabela17[[#This Row],[PCS]]*Tabela17[[#This Row],[Weight (kg)]]</f>
        <v>0</v>
      </c>
      <c r="Q63" s="481"/>
      <c r="R63" s="486"/>
      <c r="S63" s="466"/>
      <c r="T63" s="435"/>
      <c r="U63" s="467"/>
      <c r="V63" s="468"/>
      <c r="W63" s="436"/>
      <c r="X63" s="470"/>
      <c r="Y63" s="469"/>
      <c r="Z63" s="449"/>
      <c r="AA63" s="82"/>
      <c r="AB63" s="206"/>
      <c r="AD63" s="30"/>
      <c r="AE63" s="30"/>
      <c r="AF63" s="30"/>
      <c r="AG63" s="30"/>
      <c r="AH63" s="30"/>
    </row>
    <row r="64" spans="2:34" ht="12" customHeight="1" thickBot="1" x14ac:dyDescent="0.25">
      <c r="B64" s="122" t="s">
        <v>802</v>
      </c>
      <c r="C64" s="151" t="s">
        <v>1135</v>
      </c>
      <c r="D64" s="126"/>
      <c r="E64" s="124"/>
      <c r="F64" s="124"/>
      <c r="G64" s="358"/>
      <c r="H64" s="124"/>
      <c r="I64" s="124"/>
      <c r="J64" s="124"/>
      <c r="K64" s="124"/>
      <c r="L64" s="124"/>
      <c r="M64" s="124"/>
      <c r="N64" s="124"/>
      <c r="O64" s="124"/>
      <c r="P64" s="140"/>
      <c r="Q64" s="201"/>
      <c r="R64" s="201"/>
      <c r="S64" s="201"/>
      <c r="T64" s="201"/>
      <c r="U64" s="201"/>
      <c r="V64" s="201"/>
      <c r="W64" s="201"/>
      <c r="X64" s="201"/>
      <c r="Y64" s="456"/>
      <c r="Z64" s="453"/>
      <c r="AA64" s="81"/>
      <c r="AB64" s="202"/>
      <c r="AD64" s="30"/>
      <c r="AE64" s="30"/>
      <c r="AF64" s="30"/>
      <c r="AG64" s="30"/>
      <c r="AH64" s="30"/>
    </row>
    <row r="65" spans="2:34" ht="12" customHeight="1" thickBot="1" x14ac:dyDescent="0.25">
      <c r="B65" s="29" t="s">
        <v>810</v>
      </c>
      <c r="C65" s="155" t="s">
        <v>803</v>
      </c>
      <c r="D65" s="204" t="s">
        <v>1195</v>
      </c>
      <c r="E65" s="48" t="s">
        <v>817</v>
      </c>
      <c r="F65" s="47">
        <v>12.92</v>
      </c>
      <c r="G65" s="224">
        <v>450</v>
      </c>
      <c r="H65" s="224">
        <f>ROUNDUP(Tabela17[[#This Row],[PRICE]]*(1+PRICES!$C$7),0)</f>
        <v>540</v>
      </c>
      <c r="I65" s="175">
        <v>0.15</v>
      </c>
      <c r="J65" s="49">
        <f>Tabela17[[#This Row],[PRICE]]*Tabela17[[#This Row],[DISCOUNT per piece '[%']]]</f>
        <v>67.5</v>
      </c>
      <c r="K65" s="49">
        <f>Tabela17[[#This Row],[PRICE]]*(1-Tabela17[[#This Row],[DISCOUNT per piece '[%']]])</f>
        <v>382.5</v>
      </c>
      <c r="L65" s="178">
        <f>Tabela17[[#This Row],[PCS]]*Tabela17[[#This Row],[PROMOTIONAL PRICE]]</f>
        <v>0</v>
      </c>
      <c r="M65" s="497" cm="1">
        <f t="array" ref="M65">ROUNDUP(Tabela17[[#This Row],[NEW PRICE]]*eurofxref_daily[],2)</f>
        <v>868.76</v>
      </c>
      <c r="N65" s="506">
        <f>Tabela17[[#This Row],[CAD PRICE]]*O65</f>
        <v>0</v>
      </c>
      <c r="O65" s="62">
        <f>SUM(Tabela17[[#This Row],[RAL 1023]:[Custom made colour (7% add price)]])</f>
        <v>0</v>
      </c>
      <c r="P65" s="62">
        <f>Tabela17[[#This Row],[PCS]]*Tabela17[[#This Row],[Weight (kg)]]</f>
        <v>0</v>
      </c>
      <c r="Q65" s="481"/>
      <c r="R65" s="486"/>
      <c r="S65" s="466"/>
      <c r="T65" s="435"/>
      <c r="U65" s="467"/>
      <c r="V65" s="468"/>
      <c r="W65" s="436"/>
      <c r="X65" s="470"/>
      <c r="Y65" s="469"/>
      <c r="Z65" s="449"/>
      <c r="AA65" s="82"/>
      <c r="AB65" s="206"/>
      <c r="AD65" s="30"/>
      <c r="AE65" s="30"/>
      <c r="AF65" s="30"/>
      <c r="AG65" s="30"/>
      <c r="AH65" s="30"/>
    </row>
    <row r="66" spans="2:34" ht="12" customHeight="1" thickBot="1" x14ac:dyDescent="0.25">
      <c r="B66" s="29" t="s">
        <v>811</v>
      </c>
      <c r="C66" s="155" t="s">
        <v>804</v>
      </c>
      <c r="D66" s="204" t="s">
        <v>1196</v>
      </c>
      <c r="E66" s="48" t="s">
        <v>818</v>
      </c>
      <c r="F66" s="47">
        <v>5.25</v>
      </c>
      <c r="G66" s="224">
        <v>170</v>
      </c>
      <c r="H66" s="224">
        <f>ROUNDUP(Tabela17[[#This Row],[PRICE]]*(1+PRICES!$C$7),0)</f>
        <v>204</v>
      </c>
      <c r="I66" s="175">
        <v>0.15</v>
      </c>
      <c r="J66" s="49">
        <f>Tabela17[[#This Row],[PRICE]]*Tabela17[[#This Row],[DISCOUNT per piece '[%']]]</f>
        <v>25.5</v>
      </c>
      <c r="K66" s="49">
        <f>Tabela17[[#This Row],[PRICE]]*(1-Tabela17[[#This Row],[DISCOUNT per piece '[%']]])</f>
        <v>144.5</v>
      </c>
      <c r="L66" s="178">
        <f>Tabela17[[#This Row],[PCS]]*Tabela17[[#This Row],[PROMOTIONAL PRICE]]</f>
        <v>0</v>
      </c>
      <c r="M66" s="497" cm="1">
        <f t="array" ref="M66">ROUNDUP(Tabela17[[#This Row],[NEW PRICE]]*eurofxref_daily[],2)</f>
        <v>328.2</v>
      </c>
      <c r="N66" s="506">
        <f>Tabela17[[#This Row],[CAD PRICE]]*O66</f>
        <v>0</v>
      </c>
      <c r="O66" s="62">
        <f>SUM(Tabela17[[#This Row],[RAL 1023]:[Custom made colour (7% add price)]])</f>
        <v>0</v>
      </c>
      <c r="P66" s="62">
        <f>Tabela17[[#This Row],[PCS]]*Tabela17[[#This Row],[Weight (kg)]]</f>
        <v>0</v>
      </c>
      <c r="Q66" s="481"/>
      <c r="R66" s="486"/>
      <c r="S66" s="466"/>
      <c r="T66" s="435"/>
      <c r="U66" s="467"/>
      <c r="V66" s="468"/>
      <c r="W66" s="436"/>
      <c r="X66" s="470"/>
      <c r="Y66" s="469"/>
      <c r="Z66" s="449"/>
      <c r="AA66" s="82"/>
      <c r="AB66" s="206"/>
      <c r="AD66" s="30"/>
      <c r="AE66" s="30"/>
      <c r="AF66" s="30"/>
      <c r="AG66" s="30"/>
      <c r="AH66" s="30"/>
    </row>
    <row r="67" spans="2:34" ht="12" customHeight="1" thickBot="1" x14ac:dyDescent="0.25">
      <c r="B67" s="29" t="s">
        <v>812</v>
      </c>
      <c r="C67" s="155" t="s">
        <v>805</v>
      </c>
      <c r="D67" s="204" t="s">
        <v>1197</v>
      </c>
      <c r="E67" s="48" t="s">
        <v>818</v>
      </c>
      <c r="F67" s="47">
        <v>5.25</v>
      </c>
      <c r="G67" s="224">
        <v>170</v>
      </c>
      <c r="H67" s="224">
        <f>ROUNDUP(Tabela17[[#This Row],[PRICE]]*(1+PRICES!$C$7),0)</f>
        <v>204</v>
      </c>
      <c r="I67" s="175">
        <v>0.15</v>
      </c>
      <c r="J67" s="49">
        <f>Tabela17[[#This Row],[PRICE]]*Tabela17[[#This Row],[DISCOUNT per piece '[%']]]</f>
        <v>25.5</v>
      </c>
      <c r="K67" s="49">
        <f>Tabela17[[#This Row],[PRICE]]*(1-Tabela17[[#This Row],[DISCOUNT per piece '[%']]])</f>
        <v>144.5</v>
      </c>
      <c r="L67" s="178">
        <f>Tabela17[[#This Row],[PCS]]*Tabela17[[#This Row],[PROMOTIONAL PRICE]]</f>
        <v>0</v>
      </c>
      <c r="M67" s="497" cm="1">
        <f t="array" ref="M67">ROUNDUP(Tabela17[[#This Row],[NEW PRICE]]*eurofxref_daily[],2)</f>
        <v>328.2</v>
      </c>
      <c r="N67" s="506">
        <f>Tabela17[[#This Row],[CAD PRICE]]*O67</f>
        <v>0</v>
      </c>
      <c r="O67" s="62">
        <f>SUM(Tabela17[[#This Row],[RAL 1023]:[Custom made colour (7% add price)]])</f>
        <v>0</v>
      </c>
      <c r="P67" s="62">
        <f>Tabela17[[#This Row],[PCS]]*Tabela17[[#This Row],[Weight (kg)]]</f>
        <v>0</v>
      </c>
      <c r="Q67" s="481"/>
      <c r="R67" s="486"/>
      <c r="S67" s="466"/>
      <c r="T67" s="435"/>
      <c r="U67" s="467"/>
      <c r="V67" s="468"/>
      <c r="W67" s="436"/>
      <c r="X67" s="470"/>
      <c r="Y67" s="469"/>
      <c r="Z67" s="449"/>
      <c r="AA67" s="82"/>
      <c r="AB67" s="206"/>
      <c r="AD67" s="30"/>
      <c r="AE67" s="30"/>
      <c r="AF67" s="30"/>
      <c r="AG67" s="30"/>
      <c r="AH67" s="30"/>
    </row>
    <row r="68" spans="2:34" ht="12" customHeight="1" thickBot="1" x14ac:dyDescent="0.25">
      <c r="B68" s="29" t="s">
        <v>813</v>
      </c>
      <c r="C68" s="155" t="s">
        <v>806</v>
      </c>
      <c r="D68" s="204" t="s">
        <v>1198</v>
      </c>
      <c r="E68" s="48" t="s">
        <v>819</v>
      </c>
      <c r="F68" s="47">
        <v>27.45</v>
      </c>
      <c r="G68" s="224">
        <v>626</v>
      </c>
      <c r="H68" s="224">
        <f>ROUNDUP(Tabela17[[#This Row],[PRICE]]*(1+PRICES!$C$7),0)</f>
        <v>752</v>
      </c>
      <c r="I68" s="175">
        <v>0.15</v>
      </c>
      <c r="J68" s="49">
        <f>Tabela17[[#This Row],[PRICE]]*Tabela17[[#This Row],[DISCOUNT per piece '[%']]]</f>
        <v>93.899999999999991</v>
      </c>
      <c r="K68" s="49">
        <f>Tabela17[[#This Row],[PRICE]]*(1-Tabela17[[#This Row],[DISCOUNT per piece '[%']]])</f>
        <v>532.1</v>
      </c>
      <c r="L68" s="178">
        <f>Tabela17[[#This Row],[PCS]]*Tabela17[[#This Row],[PROMOTIONAL PRICE]]</f>
        <v>0</v>
      </c>
      <c r="M68" s="497" cm="1">
        <f t="array" ref="M68">ROUNDUP(Tabela17[[#This Row],[NEW PRICE]]*eurofxref_daily[],2)</f>
        <v>1209.82</v>
      </c>
      <c r="N68" s="506">
        <f>Tabela17[[#This Row],[CAD PRICE]]*O68</f>
        <v>0</v>
      </c>
      <c r="O68" s="62">
        <f>SUM(Tabela17[[#This Row],[RAL 1023]:[Custom made colour (7% add price)]])</f>
        <v>0</v>
      </c>
      <c r="P68" s="62">
        <f>Tabela17[[#This Row],[PCS]]*Tabela17[[#This Row],[Weight (kg)]]</f>
        <v>0</v>
      </c>
      <c r="Q68" s="481"/>
      <c r="R68" s="486"/>
      <c r="S68" s="466"/>
      <c r="T68" s="435"/>
      <c r="U68" s="467"/>
      <c r="V68" s="468"/>
      <c r="W68" s="436"/>
      <c r="X68" s="470"/>
      <c r="Y68" s="469"/>
      <c r="Z68" s="449"/>
      <c r="AA68" s="82"/>
      <c r="AB68" s="206"/>
      <c r="AD68" s="30"/>
      <c r="AE68" s="30"/>
      <c r="AF68" s="30"/>
      <c r="AG68" s="30"/>
      <c r="AH68" s="30"/>
    </row>
    <row r="69" spans="2:34" ht="12" customHeight="1" thickBot="1" x14ac:dyDescent="0.25">
      <c r="B69" s="29" t="s">
        <v>814</v>
      </c>
      <c r="C69" s="155" t="s">
        <v>807</v>
      </c>
      <c r="D69" s="204" t="s">
        <v>1199</v>
      </c>
      <c r="E69" s="48" t="s">
        <v>818</v>
      </c>
      <c r="F69" s="47">
        <v>11.86</v>
      </c>
      <c r="G69" s="224">
        <v>207</v>
      </c>
      <c r="H69" s="224">
        <f>ROUNDUP(Tabela17[[#This Row],[PRICE]]*(1+PRICES!$C$7),0)</f>
        <v>249</v>
      </c>
      <c r="I69" s="175">
        <v>0.15</v>
      </c>
      <c r="J69" s="49">
        <f>Tabela17[[#This Row],[PRICE]]*Tabela17[[#This Row],[DISCOUNT per piece '[%']]]</f>
        <v>31.049999999999997</v>
      </c>
      <c r="K69" s="49">
        <f>Tabela17[[#This Row],[PRICE]]*(1-Tabela17[[#This Row],[DISCOUNT per piece '[%']]])</f>
        <v>175.95</v>
      </c>
      <c r="L69" s="178">
        <f>Tabela17[[#This Row],[PCS]]*Tabela17[[#This Row],[PROMOTIONAL PRICE]]</f>
        <v>0</v>
      </c>
      <c r="M69" s="497" cm="1">
        <f t="array" ref="M69">ROUNDUP(Tabela17[[#This Row],[NEW PRICE]]*eurofxref_daily[],2)</f>
        <v>400.59999999999997</v>
      </c>
      <c r="N69" s="506">
        <f>Tabela17[[#This Row],[CAD PRICE]]*O69</f>
        <v>0</v>
      </c>
      <c r="O69" s="62">
        <f>SUM(Tabela17[[#This Row],[RAL 1023]:[Custom made colour (7% add price)]])</f>
        <v>0</v>
      </c>
      <c r="P69" s="62">
        <f>Tabela17[[#This Row],[PCS]]*Tabela17[[#This Row],[Weight (kg)]]</f>
        <v>0</v>
      </c>
      <c r="Q69" s="481"/>
      <c r="R69" s="486"/>
      <c r="S69" s="466"/>
      <c r="T69" s="435"/>
      <c r="U69" s="467"/>
      <c r="V69" s="468"/>
      <c r="W69" s="436"/>
      <c r="X69" s="470"/>
      <c r="Y69" s="469"/>
      <c r="Z69" s="449"/>
      <c r="AA69" s="82"/>
      <c r="AB69" s="206"/>
      <c r="AD69" s="30"/>
      <c r="AE69" s="30"/>
      <c r="AF69" s="30"/>
      <c r="AG69" s="30"/>
      <c r="AH69" s="30"/>
    </row>
    <row r="70" spans="2:34" ht="12" customHeight="1" thickBot="1" x14ac:dyDescent="0.25">
      <c r="B70" s="29" t="s">
        <v>815</v>
      </c>
      <c r="C70" s="155" t="s">
        <v>808</v>
      </c>
      <c r="D70" s="204" t="s">
        <v>1200</v>
      </c>
      <c r="E70" s="48" t="s">
        <v>818</v>
      </c>
      <c r="F70" s="47">
        <v>11.81</v>
      </c>
      <c r="G70" s="224">
        <v>207</v>
      </c>
      <c r="H70" s="224">
        <f>ROUNDUP(Tabela17[[#This Row],[PRICE]]*(1+PRICES!$C$7),0)</f>
        <v>249</v>
      </c>
      <c r="I70" s="175">
        <v>0.15</v>
      </c>
      <c r="J70" s="49">
        <f>Tabela17[[#This Row],[PRICE]]*Tabela17[[#This Row],[DISCOUNT per piece '[%']]]</f>
        <v>31.049999999999997</v>
      </c>
      <c r="K70" s="49">
        <f>Tabela17[[#This Row],[PRICE]]*(1-Tabela17[[#This Row],[DISCOUNT per piece '[%']]])</f>
        <v>175.95</v>
      </c>
      <c r="L70" s="178">
        <f>Tabela17[[#This Row],[PCS]]*Tabela17[[#This Row],[PROMOTIONAL PRICE]]</f>
        <v>0</v>
      </c>
      <c r="M70" s="497" cm="1">
        <f t="array" ref="M70">ROUNDUP(Tabela17[[#This Row],[NEW PRICE]]*eurofxref_daily[],2)</f>
        <v>400.59999999999997</v>
      </c>
      <c r="N70" s="506">
        <f>Tabela17[[#This Row],[CAD PRICE]]*O70</f>
        <v>0</v>
      </c>
      <c r="O70" s="62">
        <f>SUM(Tabela17[[#This Row],[RAL 1023]:[Custom made colour (7% add price)]])</f>
        <v>0</v>
      </c>
      <c r="P70" s="62">
        <f>Tabela17[[#This Row],[PCS]]*Tabela17[[#This Row],[Weight (kg)]]</f>
        <v>0</v>
      </c>
      <c r="Q70" s="481"/>
      <c r="R70" s="486"/>
      <c r="S70" s="466"/>
      <c r="T70" s="435"/>
      <c r="U70" s="467"/>
      <c r="V70" s="468"/>
      <c r="W70" s="436"/>
      <c r="X70" s="470"/>
      <c r="Y70" s="469"/>
      <c r="Z70" s="449"/>
      <c r="AA70" s="82"/>
      <c r="AB70" s="206"/>
      <c r="AD70" s="30"/>
      <c r="AE70" s="30"/>
      <c r="AF70" s="30"/>
      <c r="AG70" s="30"/>
      <c r="AH70" s="30"/>
    </row>
    <row r="71" spans="2:34" ht="12" customHeight="1" x14ac:dyDescent="0.2">
      <c r="B71" s="29" t="s">
        <v>816</v>
      </c>
      <c r="C71" s="321" t="s">
        <v>809</v>
      </c>
      <c r="D71" s="241" t="s">
        <v>1201</v>
      </c>
      <c r="E71" s="191" t="s">
        <v>820</v>
      </c>
      <c r="F71" s="190">
        <v>10.07</v>
      </c>
      <c r="G71" s="224">
        <v>230</v>
      </c>
      <c r="H71" s="376">
        <f>ROUNDUP(Tabela17[[#This Row],[PRICE]]*(1+PRICES!$C$7),0)</f>
        <v>276</v>
      </c>
      <c r="I71" s="236">
        <v>0.15</v>
      </c>
      <c r="J71" s="192">
        <f>Tabela17[[#This Row],[PRICE]]*Tabela17[[#This Row],[DISCOUNT per piece '[%']]]</f>
        <v>34.5</v>
      </c>
      <c r="K71" s="192">
        <f>Tabela17[[#This Row],[PRICE]]*(1-Tabela17[[#This Row],[DISCOUNT per piece '[%']]])</f>
        <v>195.5</v>
      </c>
      <c r="L71" s="193">
        <f>Tabela17[[#This Row],[PCS]]*Tabela17[[#This Row],[PROMOTIONAL PRICE]]</f>
        <v>0</v>
      </c>
      <c r="M71" s="499" cm="1">
        <f t="array" ref="M71">ROUNDUP(Tabela17[[#This Row],[NEW PRICE]]*eurofxref_daily[],2)</f>
        <v>444.03</v>
      </c>
      <c r="N71" s="506">
        <f>Tabela17[[#This Row],[CAD PRICE]]*O71</f>
        <v>0</v>
      </c>
      <c r="O71" s="62">
        <f>SUM(Tabela17[[#This Row],[RAL 1023]:[Custom made colour (7% add price)]])</f>
        <v>0</v>
      </c>
      <c r="P71" s="62">
        <f>Tabela17[[#This Row],[PCS]]*Tabela17[[#This Row],[Weight (kg)]]</f>
        <v>0</v>
      </c>
      <c r="Q71" s="481"/>
      <c r="R71" s="486"/>
      <c r="S71" s="466"/>
      <c r="T71" s="435"/>
      <c r="U71" s="467"/>
      <c r="V71" s="468"/>
      <c r="W71" s="436"/>
      <c r="X71" s="470"/>
      <c r="Y71" s="469"/>
      <c r="Z71" s="449"/>
      <c r="AA71" s="82"/>
      <c r="AB71" s="206"/>
      <c r="AD71" s="30"/>
      <c r="AE71" s="30"/>
      <c r="AF71" s="30"/>
      <c r="AG71" s="30"/>
      <c r="AH71" s="30"/>
    </row>
    <row r="72" spans="2:34" ht="15.75" hidden="1" thickBot="1" x14ac:dyDescent="0.3">
      <c r="C72" s="151" t="s">
        <v>1673</v>
      </c>
      <c r="D72" s="126"/>
      <c r="E72" s="124"/>
      <c r="F72" s="124"/>
      <c r="G72" s="124"/>
      <c r="H72" s="224">
        <f>ROUNDUP(Tabela17[[#This Row],[PRICE]]*(1+PRICES!$C$7),0)</f>
        <v>0</v>
      </c>
      <c r="I72" s="508"/>
      <c r="J72" s="508"/>
      <c r="K72" s="508"/>
      <c r="L72" s="508"/>
      <c r="M72" s="508"/>
      <c r="N72" s="508"/>
      <c r="O72" s="124"/>
      <c r="P72" s="140"/>
      <c r="Q72" s="434"/>
      <c r="R72" s="465"/>
      <c r="S72" s="466"/>
      <c r="T72" s="435"/>
      <c r="U72" s="467"/>
      <c r="V72" s="468"/>
      <c r="W72" s="436"/>
      <c r="X72" s="470"/>
      <c r="Y72" s="469"/>
      <c r="Z72" s="449"/>
      <c r="AA72" s="202"/>
      <c r="AB72" s="159"/>
    </row>
    <row r="73" spans="2:34" ht="12" hidden="1" customHeight="1" thickBot="1" x14ac:dyDescent="0.25">
      <c r="C73" s="369"/>
      <c r="D73" s="47"/>
      <c r="E73" s="48"/>
      <c r="F73" s="47"/>
      <c r="G73" s="49"/>
      <c r="H73" s="224">
        <f>ROUNDUP(Tabela17[[#This Row],[PRICE]]*(1+PRICES!$C$7),0)</f>
        <v>0</v>
      </c>
      <c r="I73" s="49"/>
      <c r="J73" s="49">
        <f>Tabela17[[#This Row],[PRICE]]*Tabela17[[#This Row],[DISCOUNT per piece '[%']]]</f>
        <v>0</v>
      </c>
      <c r="K73" s="49">
        <f>Tabela17[[#This Row],[PRICE]]*(1-Tabela17[[#This Row],[DISCOUNT per piece '[%']]])</f>
        <v>0</v>
      </c>
      <c r="L73" s="49">
        <f>Tabela17[[#This Row],[PCS]]*Tabela17[[#This Row],[PROMOTIONAL PRICE]]</f>
        <v>0</v>
      </c>
      <c r="M73" s="49"/>
      <c r="N73" s="477">
        <f>G73*SUM(Q73:Z73)</f>
        <v>0</v>
      </c>
      <c r="O73" s="128">
        <f>SUM(Q73:Z73)</f>
        <v>0</v>
      </c>
      <c r="P73" s="128">
        <f>O73*F73</f>
        <v>0</v>
      </c>
      <c r="Q73" s="434"/>
      <c r="R73" s="465"/>
      <c r="S73" s="466"/>
      <c r="T73" s="435"/>
      <c r="U73" s="467"/>
      <c r="V73" s="468"/>
      <c r="W73" s="436"/>
      <c r="X73" s="470"/>
      <c r="Y73" s="469"/>
      <c r="Z73" s="449"/>
      <c r="AA73" s="478"/>
      <c r="AB73" s="159"/>
      <c r="AD73" s="30"/>
      <c r="AE73" s="30"/>
      <c r="AF73" s="30"/>
      <c r="AG73" s="30"/>
      <c r="AH73" s="30"/>
    </row>
    <row r="74" spans="2:34" ht="12" hidden="1" customHeight="1" x14ac:dyDescent="0.2">
      <c r="C74" s="369"/>
      <c r="D74" s="47"/>
      <c r="E74" s="48"/>
      <c r="F74" s="47"/>
      <c r="G74" s="49"/>
      <c r="H74" s="224">
        <f>ROUNDUP(Tabela17[[#This Row],[PRICE]]*(1+PRICES!$C$7),0)</f>
        <v>0</v>
      </c>
      <c r="I74" s="49"/>
      <c r="J74" s="49">
        <f>Tabela17[[#This Row],[PRICE]]*Tabela17[[#This Row],[DISCOUNT per piece '[%']]]</f>
        <v>0</v>
      </c>
      <c r="K74" s="49">
        <f>Tabela17[[#This Row],[PRICE]]*(1-Tabela17[[#This Row],[DISCOUNT per piece '[%']]])</f>
        <v>0</v>
      </c>
      <c r="L74" s="49">
        <f>Tabela17[[#This Row],[PCS]]*Tabela17[[#This Row],[PROMOTIONAL PRICE]]</f>
        <v>0</v>
      </c>
      <c r="M74" s="49"/>
      <c r="N74" s="477">
        <f>G74*SUM(Q74:Z74)</f>
        <v>0</v>
      </c>
      <c r="O74" s="128">
        <f>SUM(Q74:Z74)</f>
        <v>0</v>
      </c>
      <c r="P74" s="128">
        <f>O74*F74</f>
        <v>0</v>
      </c>
      <c r="Q74" s="129"/>
      <c r="R74" s="130"/>
      <c r="S74" s="131"/>
      <c r="T74" s="132"/>
      <c r="U74" s="133"/>
      <c r="V74" s="134"/>
      <c r="W74" s="135"/>
      <c r="X74" s="136"/>
      <c r="Y74" s="458"/>
      <c r="Z74" s="455"/>
      <c r="AA74" s="478"/>
      <c r="AB74" s="159"/>
      <c r="AD74" s="30"/>
      <c r="AE74" s="30"/>
      <c r="AF74" s="30"/>
      <c r="AG74" s="30"/>
      <c r="AH74" s="30"/>
    </row>
    <row r="75" spans="2:34" ht="15.75" hidden="1" thickBot="1" x14ac:dyDescent="0.3">
      <c r="C75" s="369"/>
      <c r="D75" s="47"/>
      <c r="E75" s="48"/>
      <c r="F75" s="47"/>
      <c r="G75" s="49"/>
      <c r="H75" s="224">
        <f>ROUNDUP(Tabela17[[#This Row],[PRICE]]*(1+PRICES!$C$7),0)</f>
        <v>0</v>
      </c>
      <c r="I75" s="49"/>
      <c r="J75" s="49">
        <f>Tabela17[[#This Row],[PRICE]]*Tabela17[[#This Row],[DISCOUNT per piece '[%']]]</f>
        <v>0</v>
      </c>
      <c r="K75" s="49">
        <f>Tabela17[[#This Row],[PRICE]]*(1-Tabela17[[#This Row],[DISCOUNT per piece '[%']]])</f>
        <v>0</v>
      </c>
      <c r="L75" s="49">
        <f>Tabela17[[#This Row],[PCS]]*Tabela17[[#This Row],[PROMOTIONAL PRICE]]</f>
        <v>0</v>
      </c>
      <c r="M75" s="49"/>
      <c r="N75" s="477">
        <f>G75*SUM(Q75:Z75)</f>
        <v>0</v>
      </c>
      <c r="O75" s="128">
        <f>SUM(Q75:Z75)</f>
        <v>0</v>
      </c>
      <c r="P75" s="128">
        <f>O75*F75</f>
        <v>0</v>
      </c>
      <c r="Q75" s="129"/>
      <c r="R75" s="130"/>
      <c r="S75" s="131"/>
      <c r="T75" s="132"/>
      <c r="U75" s="133"/>
      <c r="V75" s="134"/>
      <c r="W75" s="135"/>
      <c r="X75" s="136"/>
      <c r="Y75" s="458"/>
      <c r="Z75" s="455"/>
      <c r="AA75" s="478"/>
      <c r="AB75" s="159"/>
    </row>
    <row r="76" spans="2:34" ht="23.25" hidden="1" customHeight="1" thickBot="1" x14ac:dyDescent="0.3">
      <c r="B76" s="46" t="s">
        <v>865</v>
      </c>
      <c r="C76" s="116" t="s">
        <v>859</v>
      </c>
      <c r="D76" s="208" t="s">
        <v>1674</v>
      </c>
      <c r="E76" s="112"/>
      <c r="F76" s="111">
        <v>122.68</v>
      </c>
      <c r="G76" s="113">
        <v>2420</v>
      </c>
      <c r="H76" s="113"/>
      <c r="I76" s="114">
        <v>0.15</v>
      </c>
      <c r="J76" s="113" t="e">
        <f>Tabela178[[#This Row],[PRICE]]*Tabela178[[#This Row],[DISCOUNT per piece '[%']]]</f>
        <v>#VALUE!</v>
      </c>
      <c r="K76" s="113" t="e">
        <f>Tabela178[[#This Row],[PRICE]]*(1-Tabela178[[#This Row],[DISCOUNT per piece '[%']]])</f>
        <v>#VALUE!</v>
      </c>
      <c r="L76" s="161" t="e">
        <f>Tabela178[[#This Row],[PCS]]*Tabela178[[#This Row],[PROMOTIONAL PRICE]]</f>
        <v>#VALUE!</v>
      </c>
      <c r="M76" s="178"/>
      <c r="N76" s="95">
        <f>G76*O76</f>
        <v>0</v>
      </c>
      <c r="O76" s="62">
        <f>SUM(Q76:AA76)</f>
        <v>0</v>
      </c>
      <c r="P76" s="62">
        <f>O76*F76</f>
        <v>0</v>
      </c>
      <c r="Q76" s="129"/>
      <c r="R76" s="130"/>
      <c r="S76" s="131"/>
      <c r="T76" s="132"/>
      <c r="U76" s="133"/>
      <c r="V76" s="134"/>
      <c r="W76" s="135"/>
      <c r="X76" s="136"/>
      <c r="Y76" s="458"/>
      <c r="Z76" s="455"/>
      <c r="AA76" s="209"/>
      <c r="AB76" s="210"/>
    </row>
    <row r="77" spans="2:34" hidden="1" x14ac:dyDescent="0.25">
      <c r="B77" s="46" t="s">
        <v>866</v>
      </c>
      <c r="C77" s="211" t="s">
        <v>860</v>
      </c>
      <c r="D77" s="212" t="s">
        <v>1675</v>
      </c>
      <c r="E77" s="147"/>
      <c r="F77" s="146">
        <v>126.12</v>
      </c>
      <c r="G77" s="148">
        <v>3665</v>
      </c>
      <c r="H77" s="148"/>
      <c r="I77" s="149">
        <v>0.15</v>
      </c>
      <c r="J77" s="148" t="e">
        <f>Tabela178[[#This Row],[PRICE]]*Tabela178[[#This Row],[DISCOUNT per piece '[%']]]</f>
        <v>#VALUE!</v>
      </c>
      <c r="K77" s="148" t="e">
        <f>Tabela178[[#This Row],[PRICE]]*(1-Tabela178[[#This Row],[DISCOUNT per piece '[%']]])</f>
        <v>#VALUE!</v>
      </c>
      <c r="L77" s="213" t="e">
        <f>Tabela178[[#This Row],[PCS]]*Tabela178[[#This Row],[PROMOTIONAL PRICE]]</f>
        <v>#VALUE!</v>
      </c>
      <c r="M77" s="193"/>
      <c r="N77" s="95">
        <f>G77*O77</f>
        <v>0</v>
      </c>
      <c r="O77" s="62">
        <f>SUM(Q77:AA77)</f>
        <v>0</v>
      </c>
      <c r="P77" s="62">
        <f>O77*F77</f>
        <v>0</v>
      </c>
      <c r="Q77" s="129"/>
      <c r="R77" s="130"/>
      <c r="S77" s="131"/>
      <c r="T77" s="132"/>
      <c r="U77" s="133"/>
      <c r="V77" s="134"/>
      <c r="W77" s="135"/>
      <c r="X77" s="136"/>
      <c r="Y77" s="458"/>
      <c r="Z77" s="455"/>
      <c r="AA77" s="209"/>
      <c r="AB77" s="210"/>
    </row>
    <row r="161" spans="27:28" x14ac:dyDescent="0.25">
      <c r="AA161"/>
      <c r="AB161"/>
    </row>
  </sheetData>
  <sheetProtection algorithmName="SHA-512" hashValue="ZaY1tLp67HuuSQb8n0gfvZJLV+sOGPHzJo5+22KGDsa1tvXdaW5cGTFBmPuKsi9zaOQ7Ta8sO4oTpWOLFW8u8w==" saltValue="qfF3NshS5TsQJ5ct1jCnuw==" spinCount="100000" sheet="1" objects="1" scenarios="1"/>
  <mergeCells count="5">
    <mergeCell ref="N4:O4"/>
    <mergeCell ref="E3:F3"/>
    <mergeCell ref="E4:F4"/>
    <mergeCell ref="C4:D4"/>
    <mergeCell ref="C3:D3"/>
  </mergeCells>
  <phoneticPr fontId="14" type="noConversion"/>
  <hyperlinks>
    <hyperlink ref="C9" r:id="rId1" display="https://climbinggymheaven.com/product/crux-2/" xr:uid="{23163892-3C49-4226-ABC1-52A532AE77F1}"/>
    <hyperlink ref="C10" r:id="rId2" display="https://climbinggymheaven.com/product/blizzard/" xr:uid="{B85DDB54-20BC-4726-8622-2ED93E39C4A2}"/>
    <hyperlink ref="C11" r:id="rId3" display="https://climbinggymheaven.com/product/tornado/" xr:uid="{D47BCEA4-574B-47E4-AD39-E0F34F84CBF0}"/>
    <hyperlink ref="C12" r:id="rId4" display="https://climbinggymheaven.com/product/storm/" xr:uid="{15147EBA-0CCE-4AE3-AB94-C90C8D44E196}"/>
    <hyperlink ref="C13" r:id="rId5" display="https://climbinggymheaven.com/product/nunatak/" xr:uid="{8D598758-C6EE-4B50-8B0D-0BE786E8AA25}"/>
    <hyperlink ref="C14" r:id="rId6" display="https://climbinggymheaven.com/product/iceberg/" xr:uid="{C2D9B5F9-41E5-4988-AEBC-59BDE1342A84}"/>
    <hyperlink ref="C15" r:id="rId7" display="https://climbinggymheaven.com/product/vertigo/" xr:uid="{31124BB0-B8DE-435D-AAF0-9FBD1F895B2A}"/>
    <hyperlink ref="C16" r:id="rId8" display="https://climbinggymheaven.com/product/spitzkoppe/" xr:uid="{D47E1C7F-DBFB-4F13-8FFE-9B5AE5BFBC81}"/>
    <hyperlink ref="C17" r:id="rId9" display="https://climbinggymheaven.com/product/runout/" xr:uid="{CC1A01F4-D71E-4D1F-B898-08F402B0B770}"/>
    <hyperlink ref="C18" r:id="rId10" display="https://climbinggymheaven.com/product/table-mountain/" xr:uid="{D13BA560-3953-453F-8105-EB401E588E87}"/>
    <hyperlink ref="C19" r:id="rId11" display="https://climbinggymheaven.com/product/roraima/" xr:uid="{9F5BAF94-64D7-48D4-BD28-3F944EC4D57F}"/>
    <hyperlink ref="C20" r:id="rId12" display="https://climbinggymheaven.com/product/manta-left/" xr:uid="{37EDB1BC-73EC-4504-8122-3A8EB431C964}"/>
    <hyperlink ref="C21" r:id="rId13" display="https://climbinggymheaven.com/product/manta-right-2/" xr:uid="{376C7988-15D9-4A3E-AB31-9E100C26F214}"/>
    <hyperlink ref="C22" r:id="rId14" display="https://climbinggymheaven.com/product/screamer/" xr:uid="{B544FA09-3292-4AB3-AFB3-DF2A730AF0A1}"/>
    <hyperlink ref="C23" r:id="rId15" display="https://climbinggymheaven.com/product/comet/" xr:uid="{37FFFBDA-7DA7-4D4D-A9C7-45A479FC8C89}"/>
    <hyperlink ref="C24" r:id="rId16" display="https://climbinggymheaven.com/product/asteroid/" xr:uid="{64B2A9C4-7A49-4B6B-B2FE-674AFC9D9EAD}"/>
    <hyperlink ref="C25" r:id="rId17" display="https://climbinggymheaven.com/product/allez/" xr:uid="{1E037999-146E-4E8F-9C11-8B4EF8298DC4}"/>
    <hyperlink ref="C26" r:id="rId18" display="https://climbinggymheaven.com/product/faint/" xr:uid="{773E1256-2938-49F1-AC1D-B96DE2361180}"/>
    <hyperlink ref="C27" r:id="rId19" display="https://climbinggymheaven.com/product/safety-first/" xr:uid="{D3AC6D6B-5B42-4E13-8276-AFAEFD32403B}"/>
    <hyperlink ref="C29" r:id="rId20" display="https://climbinggymheaven.com/product/isis/" xr:uid="{F9F8FB9B-DA8E-430D-BF51-C5B672C3B58D}"/>
    <hyperlink ref="C30" r:id="rId21" display="https://climbinggymheaven.com/product/imothep/" xr:uid="{1835752A-F420-4E8A-B3D1-21540D60EC92}"/>
    <hyperlink ref="C31" r:id="rId22" display="https://climbinggymheaven.com/product/cheops/" xr:uid="{21D9640F-8A61-417E-A27B-892D41BB132E}"/>
    <hyperlink ref="C32" r:id="rId23" display="https://climbinggymheaven.com/product/dynamic/" xr:uid="{1E6B5632-C0C0-468A-97AE-1F87843FF9A1}"/>
    <hyperlink ref="C33" r:id="rId24" display="https://climbinggymheaven.com/product/epic/" xr:uid="{4033E208-90EF-4725-8205-AB7269A828BC}"/>
    <hyperlink ref="C34" r:id="rId25" display="https://climbinggymheaven.com/product/butterfly/" xr:uid="{5FCBF4C8-86BB-4FC1-A740-03E5D85C6F04}"/>
    <hyperlink ref="C35" r:id="rId26" display="https://climbinggymheaven.com/product/onsight/" xr:uid="{28CD2AB7-DE4E-42EA-928E-5B26F807BDA9}"/>
    <hyperlink ref="C36" r:id="rId27" display="https://climbinggymheaven.com/product/shield/" xr:uid="{894E319C-6576-4491-BD38-DA69E863B6F9}"/>
    <hyperlink ref="C37" r:id="rId28" display="https://climbinggymheaven.com/product/kite/" xr:uid="{1BABB90F-FB27-40BF-9F9C-E6443838D686}"/>
    <hyperlink ref="C38" r:id="rId29" display="https://climbinggymheaven.com/product/twister/" xr:uid="{71923DC7-470F-4CC5-AE5F-56819E56D2E8}"/>
    <hyperlink ref="C39" r:id="rId30" display="https://climbinggymheaven.com/product/blister/" xr:uid="{DD25A246-5F47-4D19-8AE1-9D12FF17903C}"/>
    <hyperlink ref="C40" r:id="rId31" display="https://climbinggymheaven.com/product/rodeo-small/" xr:uid="{D189CB42-CC35-491C-880F-934974A7568E}"/>
    <hyperlink ref="C41" r:id="rId32" display="https://climbinggymheaven.com/product/rodeo-large/" xr:uid="{7B5A1812-D89A-489C-B16E-6806B532892A}"/>
    <hyperlink ref="C42" r:id="rId33" display="https://climbinggymheaven.com/product/rodeo-xl/" xr:uid="{01BAAE20-57FD-412D-8786-FD3DC257C73A}"/>
    <hyperlink ref="C43" r:id="rId34" display="https://climbinggymheaven.com/product/cheese-xl/" xr:uid="{B7D50CE4-CFB1-4793-87D8-C6A8B2CD82F4}"/>
    <hyperlink ref="C44" r:id="rId35" display="https://climbinggymheaven.com/product/cheese-large/" xr:uid="{A0279C8E-15CE-46F1-B70E-A172B7C95772}"/>
    <hyperlink ref="C45" r:id="rId36" display="https://climbinggymheaven.com/product/cheese-medium1/" xr:uid="{A5C7D931-B39F-4190-8231-D6A0E401D36E}"/>
    <hyperlink ref="C46" r:id="rId37" display="https://climbinggymheaven.com/product/cheese-medium2/" xr:uid="{DDB83D42-510F-4FB3-BD31-9A5A12E6AA3D}"/>
    <hyperlink ref="C47" r:id="rId38" display="https://climbinggymheaven.com/product/tris-large/" xr:uid="{19F986C4-FFA1-4130-9FC8-7ADBEECB30E0}"/>
    <hyperlink ref="C48" r:id="rId39" display="https://climbinggymheaven.com/product/tris-medium/" xr:uid="{01E8AF19-D69B-47DF-9572-7ADB96BBE22C}"/>
    <hyperlink ref="C49" r:id="rId40" display="https://climbinggymheaven.com/product/tris-small/" xr:uid="{EB46CF20-33DD-4276-BE70-84D2B1B3EC39}"/>
    <hyperlink ref="C51" r:id="rId41" display="https://climbinggymheaven.com/product/scorpio/" xr:uid="{6D84E205-AD14-47BB-8DB2-67098DE59B53}"/>
    <hyperlink ref="C52" r:id="rId42" display="https://climbinggymheaven.com/product/teardrop/" xr:uid="{DB1F0564-B7C4-4032-BFDC-B4CBF75A26CE}"/>
    <hyperlink ref="C53" r:id="rId43" display="https://climbinggymheaven.com/product/rosetta/" xr:uid="{EC906540-288B-4972-922F-47095BE60524}"/>
    <hyperlink ref="C54" r:id="rId44" display="https://climbinggymheaven.com/product/pentagon-comp/" xr:uid="{5FD72397-B763-4F6C-AFE1-B381A6B5522B}"/>
    <hyperlink ref="C55" r:id="rId45" display="https://climbinggymheaven.com/product/lotos/" xr:uid="{2452DC9F-45F5-4594-9538-5CB3224373A0}"/>
    <hyperlink ref="C56" r:id="rId46" display="https://climbinggymheaven.com/product/superstar-comp/" xr:uid="{FC63F73C-3BCC-4474-94CD-834572CC5230}"/>
    <hyperlink ref="C58" r:id="rId47" display="https://climbinggymheaven.com/product/dragonfly/" xr:uid="{44E5A5C4-7D11-4734-9C16-28A65BD1377B}"/>
    <hyperlink ref="C59" r:id="rId48" display="https://climbinggymheaven.com/product/mosquito/" xr:uid="{1F9FC9EC-C4B8-434A-9585-E39DDF10745C}"/>
    <hyperlink ref="C60" r:id="rId49" display="https://climbinggymheaven.com/product/hook/" xr:uid="{20D35082-9695-45F8-9210-CA6041B3F772}"/>
    <hyperlink ref="C61" r:id="rId50" display="https://climbinggymheaven.com/product/tulip/" xr:uid="{19DCDD88-D084-421B-964E-B08275F61101}"/>
    <hyperlink ref="C62" r:id="rId51" display="https://climbinggymheaven.com/product/right-arrow/" xr:uid="{9E9C7FC8-9BEB-4479-9DFE-220BA0ED1DE7}"/>
    <hyperlink ref="C63" r:id="rId52" display="https://climbinggymheaven.com/product/left-arrow/" xr:uid="{E7265F82-C618-4CCA-8C49-0906EF80A77B}"/>
    <hyperlink ref="C65" r:id="rId53" display="https://climbinggymheaven.com/product/cocoon-slim-1/" xr:uid="{23D6924B-85EB-49D8-9604-BEB0C949CC9D}"/>
    <hyperlink ref="C66" r:id="rId54" display="https://climbinggymheaven.com/product/small-slice-left-2/" xr:uid="{8EA69870-5194-43CE-88AA-2266653D115A}"/>
    <hyperlink ref="C67" r:id="rId55" display="https://climbinggymheaven.com/product/small-slice-right-3/" xr:uid="{8550506D-ABAD-4247-9746-CFB0444DDE25}"/>
    <hyperlink ref="C68" r:id="rId56" display="https://climbinggymheaven.com/product/cocoon-fat-1/" xr:uid="{EAC4248F-57C7-4731-A6CD-9615FAFD5104}"/>
    <hyperlink ref="C69" r:id="rId57" display="https://climbinggymheaven.com/product/large-slice-left-2/" xr:uid="{AAEAC65E-4A0A-46BB-96D8-F3278A73BD62}"/>
    <hyperlink ref="C70" r:id="rId58" display="https://climbinggymheaven.com/product/large-slice-right-3/" xr:uid="{59A2C783-2564-4919-AA1C-7EE58A50E50A}"/>
    <hyperlink ref="C71" r:id="rId59" display="https://climbinggymheaven.com/product/wing/" xr:uid="{DE26E96E-9629-46F3-8149-FF3F5D156853}"/>
    <hyperlink ref="C77" location="Catalogue!B140" display="Classic Pack" xr:uid="{91DBA30B-6931-456F-930E-A6239D8865DD}"/>
    <hyperlink ref="C76" r:id="rId60" display="https://climbinggymheaven.com/product/coordination-pack/" xr:uid="{5AE16865-6536-4C01-A2FA-5EB699EC7E90}"/>
  </hyperlinks>
  <pageMargins left="0.7" right="0.7" top="0.75" bottom="0.75" header="0.3" footer="0.3"/>
  <pageSetup paperSize="9" scale="49" orientation="portrait" r:id="rId61"/>
  <drawing r:id="rId62"/>
  <tableParts count="1">
    <tablePart r:id="rId6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125C-C643-4C59-A593-BDEB02094F21}">
  <sheetPr codeName="List9">
    <tabColor theme="1" tint="4.9989318521683403E-2"/>
    <pageSetUpPr fitToPage="1"/>
  </sheetPr>
  <dimension ref="B1:AC26"/>
  <sheetViews>
    <sheetView showGridLines="0" zoomScale="115" zoomScaleNormal="115" zoomScaleSheetLayoutView="55" workbookViewId="0">
      <pane ySplit="7" topLeftCell="A8" activePane="bottomLeft" state="frozen"/>
      <selection pane="bottomLeft" activeCell="N9" sqref="N9"/>
    </sheetView>
  </sheetViews>
  <sheetFormatPr defaultColWidth="8.85546875" defaultRowHeight="11.25" x14ac:dyDescent="0.2"/>
  <cols>
    <col min="1" max="1" width="21.5703125" style="30" customWidth="1"/>
    <col min="2" max="2" width="18.5703125" style="29" hidden="1" customWidth="1"/>
    <col min="3" max="3" width="28.140625" style="30" customWidth="1"/>
    <col min="4" max="4" width="9.5703125" style="30" customWidth="1"/>
    <col min="5" max="5" width="8.5703125" style="30" customWidth="1"/>
    <col min="6" max="6" width="11.28515625" style="30" bestFit="1" customWidth="1"/>
    <col min="7" max="7" width="13" style="30" customWidth="1"/>
    <col min="8" max="9" width="8.5703125" style="30" hidden="1" customWidth="1"/>
    <col min="10" max="10" width="15.140625" style="30" hidden="1" customWidth="1"/>
    <col min="11" max="11" width="12.28515625" style="30" hidden="1" customWidth="1"/>
    <col min="12" max="13" width="15.5703125" style="30" hidden="1" customWidth="1"/>
    <col min="14" max="14" width="12.42578125" style="30" bestFit="1" customWidth="1"/>
    <col min="15" max="16" width="8.5703125" style="30" customWidth="1"/>
    <col min="17" max="17" width="12.42578125" style="30" bestFit="1" customWidth="1"/>
    <col min="18" max="18" width="13.85546875" style="30" hidden="1" customWidth="1"/>
    <col min="19" max="26" width="8.5703125" style="30" customWidth="1"/>
    <col min="27" max="28" width="8.5703125" style="219" customWidth="1"/>
    <col min="29" max="29" width="13.5703125" style="30" hidden="1" customWidth="1"/>
    <col min="30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2:29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</row>
    <row r="2" spans="2:29" ht="21" customHeight="1" thickBot="1" x14ac:dyDescent="0.25">
      <c r="B2" s="59"/>
      <c r="C2" s="58"/>
      <c r="D2" s="58"/>
      <c r="E2" s="58"/>
      <c r="F2" s="58"/>
      <c r="G2" s="58"/>
      <c r="H2" s="58"/>
      <c r="I2" s="58"/>
      <c r="J2" s="162" t="s">
        <v>1371</v>
      </c>
      <c r="K2" s="163" t="s">
        <v>1342</v>
      </c>
      <c r="L2" s="58"/>
      <c r="M2" s="58"/>
      <c r="N2" s="58"/>
      <c r="O2" s="58"/>
      <c r="P2" s="58"/>
      <c r="Q2" s="58"/>
      <c r="R2" s="164"/>
      <c r="S2" s="165"/>
      <c r="U2" s="58"/>
      <c r="V2" s="58"/>
      <c r="W2" s="58"/>
      <c r="X2" s="58"/>
      <c r="Y2" s="58"/>
      <c r="Z2" s="58"/>
      <c r="AA2" s="535"/>
      <c r="AB2" s="535"/>
    </row>
    <row r="3" spans="2:29" ht="18" customHeight="1" thickBot="1" x14ac:dyDescent="0.3">
      <c r="C3" s="527" t="s">
        <v>0</v>
      </c>
      <c r="D3" s="528"/>
      <c r="E3" s="531">
        <f>SUM(O8:O26)</f>
        <v>0</v>
      </c>
      <c r="F3" s="532"/>
      <c r="J3" s="342">
        <f>SUM(M8:M26)</f>
        <v>0</v>
      </c>
      <c r="K3" s="167">
        <f>E3-J3</f>
        <v>0</v>
      </c>
      <c r="AB3" s="462"/>
    </row>
    <row r="4" spans="2:29" ht="18" customHeight="1" thickBot="1" x14ac:dyDescent="0.25">
      <c r="C4" s="529" t="s">
        <v>19</v>
      </c>
      <c r="D4" s="530"/>
      <c r="E4" s="533" cm="1">
        <f t="array" ref="E4">SUM(Tabela1369[SETS]*Tabela1369[Number of pcs])</f>
        <v>0</v>
      </c>
      <c r="F4" s="534"/>
      <c r="O4" s="536" t="s">
        <v>1202</v>
      </c>
      <c r="P4" s="537"/>
      <c r="Q4" s="168"/>
      <c r="S4" s="481">
        <f t="shared" ref="S4:AA4" si="0">SUM(S9:S22)</f>
        <v>0</v>
      </c>
      <c r="T4" s="441">
        <f t="shared" si="0"/>
        <v>0</v>
      </c>
      <c r="U4" s="442">
        <f t="shared" si="0"/>
        <v>0</v>
      </c>
      <c r="V4" s="443">
        <f t="shared" si="0"/>
        <v>0</v>
      </c>
      <c r="W4" s="444">
        <f t="shared" si="0"/>
        <v>0</v>
      </c>
      <c r="X4" s="445">
        <f t="shared" si="0"/>
        <v>0</v>
      </c>
      <c r="Y4" s="446">
        <f t="shared" si="0"/>
        <v>0</v>
      </c>
      <c r="Z4" s="447">
        <f t="shared" si="0"/>
        <v>0</v>
      </c>
      <c r="AA4" s="451">
        <f t="shared" si="0"/>
        <v>0</v>
      </c>
      <c r="AB4" s="450">
        <f>SUM(Tabela1369[RAL 9005])</f>
        <v>0</v>
      </c>
      <c r="AC4" s="110">
        <f>SUM(AC8:AC26)</f>
        <v>0</v>
      </c>
    </row>
    <row r="5" spans="2:29" ht="4.5" customHeight="1" thickBot="1" x14ac:dyDescent="0.25">
      <c r="C5" s="170"/>
      <c r="D5" s="170"/>
      <c r="E5" s="171"/>
      <c r="F5" s="171"/>
    </row>
    <row r="6" spans="2:29" ht="12" hidden="1" thickBot="1" x14ac:dyDescent="0.25">
      <c r="O6" s="32"/>
      <c r="S6" s="33">
        <f t="shared" ref="S6:AA6" si="1">SUM(S12:S22)</f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 t="shared" si="1"/>
        <v>0</v>
      </c>
      <c r="Z6" s="33">
        <f t="shared" si="1"/>
        <v>0</v>
      </c>
      <c r="AA6" s="452">
        <f t="shared" si="1"/>
        <v>0</v>
      </c>
      <c r="AB6" s="452"/>
      <c r="AC6" s="33">
        <f>SUM(AC24:AC154)</f>
        <v>0</v>
      </c>
    </row>
    <row r="7" spans="2:29" ht="36.6" customHeight="1" thickBot="1" x14ac:dyDescent="0.25">
      <c r="B7" s="26" t="s">
        <v>988</v>
      </c>
      <c r="C7" s="179" t="s">
        <v>86</v>
      </c>
      <c r="D7" s="180" t="s">
        <v>989</v>
      </c>
      <c r="E7" s="181" t="s">
        <v>12</v>
      </c>
      <c r="F7" s="181" t="s">
        <v>13</v>
      </c>
      <c r="G7" s="181" t="s">
        <v>3</v>
      </c>
      <c r="H7" s="182" t="s">
        <v>2066</v>
      </c>
      <c r="I7" s="485" t="s">
        <v>2064</v>
      </c>
      <c r="J7" s="173" t="s">
        <v>1373</v>
      </c>
      <c r="K7" s="173" t="s">
        <v>1374</v>
      </c>
      <c r="L7" s="173" t="s">
        <v>1371</v>
      </c>
      <c r="M7" s="160" t="s">
        <v>1372</v>
      </c>
      <c r="N7" s="509" t="s">
        <v>2069</v>
      </c>
      <c r="O7" s="183" t="s">
        <v>85</v>
      </c>
      <c r="P7" s="154" t="s">
        <v>10</v>
      </c>
      <c r="Q7" s="154" t="s">
        <v>1764</v>
      </c>
      <c r="R7" s="154" t="s">
        <v>11</v>
      </c>
      <c r="S7" s="184" t="s">
        <v>657</v>
      </c>
      <c r="T7" s="185" t="s">
        <v>84</v>
      </c>
      <c r="U7" s="185" t="s">
        <v>14</v>
      </c>
      <c r="V7" s="186" t="s">
        <v>926</v>
      </c>
      <c r="W7" s="186" t="s">
        <v>5</v>
      </c>
      <c r="X7" s="185" t="s">
        <v>6</v>
      </c>
      <c r="Y7" s="185" t="s">
        <v>7</v>
      </c>
      <c r="Z7" s="185" t="s">
        <v>927</v>
      </c>
      <c r="AA7" s="186" t="s">
        <v>198</v>
      </c>
      <c r="AB7" s="186" t="s">
        <v>8</v>
      </c>
      <c r="AC7" s="174" t="s">
        <v>1276</v>
      </c>
    </row>
    <row r="8" spans="2:29" ht="12" thickBot="1" x14ac:dyDescent="0.25">
      <c r="B8" s="412"/>
      <c r="C8" s="417" t="s">
        <v>1985</v>
      </c>
      <c r="D8" s="413"/>
      <c r="E8" s="408"/>
      <c r="F8" s="401"/>
      <c r="G8" s="408"/>
      <c r="H8" s="348"/>
      <c r="I8" s="348"/>
      <c r="J8" s="414"/>
      <c r="K8" s="348"/>
      <c r="L8" s="348"/>
      <c r="M8" s="415"/>
      <c r="N8" s="415"/>
      <c r="O8" s="416"/>
      <c r="P8" s="228"/>
      <c r="Q8" s="349"/>
      <c r="R8" s="228"/>
      <c r="S8" s="80"/>
      <c r="T8" s="80"/>
      <c r="U8" s="80"/>
      <c r="V8" s="80"/>
      <c r="W8" s="80"/>
      <c r="X8" s="80"/>
      <c r="Y8" s="80"/>
      <c r="Z8" s="80"/>
      <c r="AA8" s="457"/>
      <c r="AB8" s="454"/>
      <c r="AC8" s="357"/>
    </row>
    <row r="9" spans="2:29" ht="12" thickBot="1" x14ac:dyDescent="0.25">
      <c r="B9" s="391" t="s">
        <v>1972</v>
      </c>
      <c r="C9" s="90" t="s">
        <v>1957</v>
      </c>
      <c r="D9" s="96" t="s">
        <v>1958</v>
      </c>
      <c r="E9" s="47">
        <v>10</v>
      </c>
      <c r="F9" s="48" t="s">
        <v>660</v>
      </c>
      <c r="G9" s="47">
        <v>4.05</v>
      </c>
      <c r="H9" s="224">
        <v>101</v>
      </c>
      <c r="I9" s="224">
        <f>ROUNDUP(Tabela1369[[#This Row],[OLD PRICE]]*(1+PRICES!$C$8),0)</f>
        <v>122</v>
      </c>
      <c r="J9" s="158"/>
      <c r="K9" s="49">
        <f>Tabela1369[[#This Row],[OLD PRICE]]*Tabela1369[[#This Row],[DISCOUNT per piece '[%']]]</f>
        <v>0</v>
      </c>
      <c r="L9" s="49">
        <f>Tabela1369[[#This Row],[OLD PRICE]]*(1-Tabela1369[[#This Row],[DISCOUNT per piece '[%']]])</f>
        <v>101</v>
      </c>
      <c r="M9" s="178">
        <f>Tabela1369[[#This Row],[SETS]]*Tabela1369[[#This Row],[PROMOTIONAL PRICE]]</f>
        <v>0</v>
      </c>
      <c r="N9" s="498" cm="1">
        <f t="array" ref="N9">ROUNDUP(Tabela1369[[#This Row],[NEW PRICE]]*eurofxref_daily[],2)</f>
        <v>196.28</v>
      </c>
      <c r="O9" s="510">
        <f>Tabela1369[[#This Row],[CAD PRICE]]*P9</f>
        <v>0</v>
      </c>
      <c r="P9" s="188">
        <f>SUM(S9:AB9)</f>
        <v>0</v>
      </c>
      <c r="Q9" s="187">
        <f t="shared" ref="Q9:Q22" si="2">P9*E9</f>
        <v>0</v>
      </c>
      <c r="R9" s="188">
        <f t="shared" ref="R9:R22" si="3">P9*G9</f>
        <v>0</v>
      </c>
      <c r="S9" s="482"/>
      <c r="T9" s="486"/>
      <c r="U9" s="466"/>
      <c r="V9" s="435"/>
      <c r="W9" s="467"/>
      <c r="X9" s="468"/>
      <c r="Y9" s="436"/>
      <c r="Z9" s="470"/>
      <c r="AA9" s="469"/>
      <c r="AB9" s="449"/>
      <c r="AC9" s="357"/>
    </row>
    <row r="10" spans="2:29" ht="12" thickBot="1" x14ac:dyDescent="0.25">
      <c r="B10" s="391" t="s">
        <v>1971</v>
      </c>
      <c r="C10" s="90" t="s">
        <v>1862</v>
      </c>
      <c r="D10" s="97" t="s">
        <v>1863</v>
      </c>
      <c r="E10" s="190">
        <v>10</v>
      </c>
      <c r="F10" s="191" t="s">
        <v>660</v>
      </c>
      <c r="G10" s="190">
        <v>3.6</v>
      </c>
      <c r="H10" s="224">
        <v>117</v>
      </c>
      <c r="I10" s="224">
        <f>ROUNDUP(Tabela1369[[#This Row],[OLD PRICE]]*(1+PRICES!$C$8),0)</f>
        <v>141</v>
      </c>
      <c r="J10" s="49">
        <v>2.15</v>
      </c>
      <c r="K10" s="49">
        <f>Tabela1369[[#This Row],[OLD PRICE]]*Tabela1369[[#This Row],[DISCOUNT per piece '[%']]]</f>
        <v>251.54999999999998</v>
      </c>
      <c r="L10" s="49">
        <f>Tabela1369[[#This Row],[OLD PRICE]]*(1-Tabela1369[[#This Row],[DISCOUNT per piece '[%']]])</f>
        <v>-134.54999999999998</v>
      </c>
      <c r="M10" s="178">
        <f>Tabela1369[[#This Row],[SETS]]*Tabela1369[[#This Row],[PROMOTIONAL PRICE]]</f>
        <v>0</v>
      </c>
      <c r="N10" s="498" cm="1">
        <f t="array" ref="N10">ROUNDUP(Tabela1369[[#This Row],[NEW PRICE]]*eurofxref_daily[],2)</f>
        <v>226.85</v>
      </c>
      <c r="O10" s="510">
        <f>Tabela1369[[#This Row],[CAD PRICE]]*P10</f>
        <v>0</v>
      </c>
      <c r="P10" s="195">
        <f>SUM(S10:AB10)</f>
        <v>0</v>
      </c>
      <c r="Q10" s="187">
        <f t="shared" si="2"/>
        <v>0</v>
      </c>
      <c r="R10" s="195">
        <f t="shared" si="3"/>
        <v>0</v>
      </c>
      <c r="S10" s="482"/>
      <c r="T10" s="486"/>
      <c r="U10" s="466"/>
      <c r="V10" s="435"/>
      <c r="W10" s="467"/>
      <c r="X10" s="468"/>
      <c r="Y10" s="436"/>
      <c r="Z10" s="470"/>
      <c r="AA10" s="469"/>
      <c r="AB10" s="449"/>
      <c r="AC10" s="357"/>
    </row>
    <row r="11" spans="2:29" ht="12" thickBot="1" x14ac:dyDescent="0.25">
      <c r="B11" s="391" t="s">
        <v>1970</v>
      </c>
      <c r="C11" s="90" t="s">
        <v>1864</v>
      </c>
      <c r="D11" s="97" t="s">
        <v>1865</v>
      </c>
      <c r="E11" s="190">
        <v>10</v>
      </c>
      <c r="F11" s="191" t="s">
        <v>660</v>
      </c>
      <c r="G11" s="190">
        <v>3.6</v>
      </c>
      <c r="H11" s="224">
        <v>117</v>
      </c>
      <c r="I11" s="224">
        <f>ROUNDUP(Tabela1369[[#This Row],[OLD PRICE]]*(1+PRICES!$C$8),0)</f>
        <v>141</v>
      </c>
      <c r="J11" s="49">
        <v>3.15</v>
      </c>
      <c r="K11" s="49">
        <f>Tabela1369[[#This Row],[OLD PRICE]]*Tabela1369[[#This Row],[DISCOUNT per piece '[%']]]</f>
        <v>368.55</v>
      </c>
      <c r="L11" s="49">
        <f>Tabela1369[[#This Row],[OLD PRICE]]*(1-Tabela1369[[#This Row],[DISCOUNT per piece '[%']]])</f>
        <v>-251.54999999999998</v>
      </c>
      <c r="M11" s="178">
        <f>Tabela1369[[#This Row],[SETS]]*Tabela1369[[#This Row],[PROMOTIONAL PRICE]]</f>
        <v>0</v>
      </c>
      <c r="N11" s="498" cm="1">
        <f t="array" ref="N11">ROUNDUP(Tabela1369[[#This Row],[NEW PRICE]]*eurofxref_daily[],2)</f>
        <v>226.85</v>
      </c>
      <c r="O11" s="510">
        <f>Tabela1369[[#This Row],[CAD PRICE]]*P11</f>
        <v>0</v>
      </c>
      <c r="P11" s="195">
        <f>SUM(S11:AB11)</f>
        <v>0</v>
      </c>
      <c r="Q11" s="187">
        <f t="shared" si="2"/>
        <v>0</v>
      </c>
      <c r="R11" s="195">
        <f t="shared" si="3"/>
        <v>0</v>
      </c>
      <c r="S11" s="482"/>
      <c r="T11" s="486"/>
      <c r="U11" s="466"/>
      <c r="V11" s="435"/>
      <c r="W11" s="467"/>
      <c r="X11" s="468"/>
      <c r="Y11" s="436"/>
      <c r="Z11" s="470"/>
      <c r="AA11" s="469"/>
      <c r="AB11" s="449"/>
      <c r="AC11" s="357"/>
    </row>
    <row r="12" spans="2:29" ht="12" thickBot="1" x14ac:dyDescent="0.25">
      <c r="B12" s="29" t="s">
        <v>903</v>
      </c>
      <c r="C12" s="92" t="s">
        <v>897</v>
      </c>
      <c r="D12" s="96" t="s">
        <v>1209</v>
      </c>
      <c r="E12" s="47">
        <v>10</v>
      </c>
      <c r="F12" s="48" t="s">
        <v>660</v>
      </c>
      <c r="G12" s="47">
        <v>3.42</v>
      </c>
      <c r="H12" s="224">
        <v>101</v>
      </c>
      <c r="I12" s="224">
        <f>ROUNDUP(Tabela1369[[#This Row],[OLD PRICE]]*(1+PRICES!$C$8),0)</f>
        <v>122</v>
      </c>
      <c r="J12" s="175">
        <v>0.15</v>
      </c>
      <c r="K12" s="49">
        <f>Tabela1369[[#This Row],[OLD PRICE]]*Tabela1369[[#This Row],[DISCOUNT per piece '[%']]]</f>
        <v>15.149999999999999</v>
      </c>
      <c r="L12" s="49">
        <f>Tabela1369[[#This Row],[OLD PRICE]]*(1-Tabela1369[[#This Row],[DISCOUNT per piece '[%']]])</f>
        <v>85.85</v>
      </c>
      <c r="M12" s="178">
        <f>Tabela1369[[#This Row],[SETS]]*Tabela1369[[#This Row],[PROMOTIONAL PRICE]]</f>
        <v>0</v>
      </c>
      <c r="N12" s="498" cm="1">
        <f t="array" ref="N12">ROUNDUP(Tabela1369[[#This Row],[NEW PRICE]]*eurofxref_daily[],2)</f>
        <v>196.28</v>
      </c>
      <c r="O12" s="510">
        <f>Tabela1369[[#This Row],[CAD PRICE]]*P12</f>
        <v>0</v>
      </c>
      <c r="P12" s="187">
        <f t="shared" ref="P12:P22" si="4">SUM(S12:AB12)</f>
        <v>0</v>
      </c>
      <c r="Q12" s="187">
        <f t="shared" si="2"/>
        <v>0</v>
      </c>
      <c r="R12" s="188">
        <f t="shared" si="3"/>
        <v>0</v>
      </c>
      <c r="S12" s="482"/>
      <c r="T12" s="486"/>
      <c r="U12" s="466"/>
      <c r="V12" s="435"/>
      <c r="W12" s="467"/>
      <c r="X12" s="468"/>
      <c r="Y12" s="436"/>
      <c r="Z12" s="470"/>
      <c r="AA12" s="469"/>
      <c r="AB12" s="449"/>
      <c r="AC12" s="189"/>
    </row>
    <row r="13" spans="2:29" ht="12" thickBot="1" x14ac:dyDescent="0.25">
      <c r="B13" s="29" t="s">
        <v>904</v>
      </c>
      <c r="C13" s="92" t="s">
        <v>898</v>
      </c>
      <c r="D13" s="96" t="s">
        <v>1210</v>
      </c>
      <c r="E13" s="47">
        <v>20</v>
      </c>
      <c r="F13" s="48" t="s">
        <v>909</v>
      </c>
      <c r="G13" s="47">
        <v>4.0999999999999996</v>
      </c>
      <c r="H13" s="224">
        <v>144</v>
      </c>
      <c r="I13" s="224">
        <f>ROUNDUP(Tabela1369[[#This Row],[OLD PRICE]]*(1+PRICES!$C$8),0)</f>
        <v>173</v>
      </c>
      <c r="J13" s="175">
        <v>0.15</v>
      </c>
      <c r="K13" s="49">
        <f>Tabela1369[[#This Row],[OLD PRICE]]*Tabela1369[[#This Row],[DISCOUNT per piece '[%']]]</f>
        <v>21.599999999999998</v>
      </c>
      <c r="L13" s="49">
        <f>Tabela1369[[#This Row],[OLD PRICE]]*(1-Tabela1369[[#This Row],[DISCOUNT per piece '[%']]])</f>
        <v>122.39999999999999</v>
      </c>
      <c r="M13" s="178">
        <f>Tabela1369[[#This Row],[SETS]]*Tabela1369[[#This Row],[PROMOTIONAL PRICE]]</f>
        <v>0</v>
      </c>
      <c r="N13" s="498" cm="1">
        <f t="array" ref="N13">ROUNDUP(Tabela1369[[#This Row],[NEW PRICE]]*eurofxref_daily[],2)</f>
        <v>278.33</v>
      </c>
      <c r="O13" s="510">
        <f>Tabela1369[[#This Row],[CAD PRICE]]*P13</f>
        <v>0</v>
      </c>
      <c r="P13" s="187">
        <f t="shared" si="4"/>
        <v>0</v>
      </c>
      <c r="Q13" s="187">
        <f t="shared" si="2"/>
        <v>0</v>
      </c>
      <c r="R13" s="188">
        <f t="shared" si="3"/>
        <v>0</v>
      </c>
      <c r="S13" s="482"/>
      <c r="T13" s="486"/>
      <c r="U13" s="466"/>
      <c r="V13" s="435"/>
      <c r="W13" s="467"/>
      <c r="X13" s="468"/>
      <c r="Y13" s="436"/>
      <c r="Z13" s="470"/>
      <c r="AA13" s="469"/>
      <c r="AB13" s="449"/>
      <c r="AC13" s="189"/>
    </row>
    <row r="14" spans="2:29" ht="12" thickBot="1" x14ac:dyDescent="0.25">
      <c r="B14" s="29" t="s">
        <v>1965</v>
      </c>
      <c r="C14" s="90" t="s">
        <v>1866</v>
      </c>
      <c r="D14" s="97" t="s">
        <v>1867</v>
      </c>
      <c r="E14" s="190">
        <v>10</v>
      </c>
      <c r="F14" s="191" t="s">
        <v>660</v>
      </c>
      <c r="G14" s="190">
        <v>3.6</v>
      </c>
      <c r="H14" s="224">
        <v>101</v>
      </c>
      <c r="I14" s="224">
        <f>ROUNDUP(Tabela1369[[#This Row],[OLD PRICE]]*(1+PRICES!$C$8),0)</f>
        <v>122</v>
      </c>
      <c r="J14" s="49">
        <v>4.1500000000000004</v>
      </c>
      <c r="K14" s="49">
        <f>Tabela1369[[#This Row],[OLD PRICE]]*Tabela1369[[#This Row],[DISCOUNT per piece '[%']]]</f>
        <v>419.15000000000003</v>
      </c>
      <c r="L14" s="49">
        <f>Tabela1369[[#This Row],[OLD PRICE]]*(1-Tabela1369[[#This Row],[DISCOUNT per piece '[%']]])</f>
        <v>-318.15000000000003</v>
      </c>
      <c r="M14" s="178">
        <f>Tabela1369[[#This Row],[SETS]]*Tabela1369[[#This Row],[PROMOTIONAL PRICE]]</f>
        <v>0</v>
      </c>
      <c r="N14" s="498" cm="1">
        <f t="array" ref="N14">ROUNDUP(Tabela1369[[#This Row],[NEW PRICE]]*eurofxref_daily[],2)</f>
        <v>196.28</v>
      </c>
      <c r="O14" s="510">
        <f>Tabela1369[[#This Row],[CAD PRICE]]*P14</f>
        <v>0</v>
      </c>
      <c r="P14" s="195">
        <f>SUM(S14:AB14)</f>
        <v>0</v>
      </c>
      <c r="Q14" s="187">
        <f t="shared" si="2"/>
        <v>0</v>
      </c>
      <c r="R14" s="195">
        <f t="shared" si="3"/>
        <v>0</v>
      </c>
      <c r="S14" s="482"/>
      <c r="T14" s="486"/>
      <c r="U14" s="466"/>
      <c r="V14" s="435"/>
      <c r="W14" s="467"/>
      <c r="X14" s="468"/>
      <c r="Y14" s="436"/>
      <c r="Z14" s="470"/>
      <c r="AA14" s="469"/>
      <c r="AB14" s="449"/>
      <c r="AC14" s="189"/>
    </row>
    <row r="15" spans="2:29" ht="12" thickBot="1" x14ac:dyDescent="0.25">
      <c r="B15" s="29" t="s">
        <v>905</v>
      </c>
      <c r="C15" s="92" t="s">
        <v>899</v>
      </c>
      <c r="D15" s="96" t="s">
        <v>1211</v>
      </c>
      <c r="E15" s="47">
        <v>10</v>
      </c>
      <c r="F15" s="48" t="s">
        <v>660</v>
      </c>
      <c r="G15" s="47">
        <v>6.82</v>
      </c>
      <c r="H15" s="224">
        <v>128</v>
      </c>
      <c r="I15" s="224">
        <f>ROUNDUP(Tabela1369[[#This Row],[OLD PRICE]]*(1+PRICES!$C$8),0)</f>
        <v>154</v>
      </c>
      <c r="J15" s="175">
        <v>0.15</v>
      </c>
      <c r="K15" s="49">
        <f>Tabela1369[[#This Row],[OLD PRICE]]*Tabela1369[[#This Row],[DISCOUNT per piece '[%']]]</f>
        <v>19.2</v>
      </c>
      <c r="L15" s="49">
        <f>Tabela1369[[#This Row],[OLD PRICE]]*(1-Tabela1369[[#This Row],[DISCOUNT per piece '[%']]])</f>
        <v>108.8</v>
      </c>
      <c r="M15" s="178">
        <f>Tabela1369[[#This Row],[SETS]]*Tabela1369[[#This Row],[PROMOTIONAL PRICE]]</f>
        <v>0</v>
      </c>
      <c r="N15" s="498" cm="1">
        <f t="array" ref="N15">ROUNDUP(Tabela1369[[#This Row],[NEW PRICE]]*eurofxref_daily[],2)</f>
        <v>247.76</v>
      </c>
      <c r="O15" s="510">
        <f>Tabela1369[[#This Row],[CAD PRICE]]*P15</f>
        <v>0</v>
      </c>
      <c r="P15" s="187">
        <f t="shared" si="4"/>
        <v>0</v>
      </c>
      <c r="Q15" s="187">
        <f t="shared" si="2"/>
        <v>0</v>
      </c>
      <c r="R15" s="188">
        <f t="shared" si="3"/>
        <v>0</v>
      </c>
      <c r="S15" s="482"/>
      <c r="T15" s="486"/>
      <c r="U15" s="466"/>
      <c r="V15" s="435"/>
      <c r="W15" s="467"/>
      <c r="X15" s="468"/>
      <c r="Y15" s="436"/>
      <c r="Z15" s="470"/>
      <c r="AA15" s="469"/>
      <c r="AB15" s="449"/>
      <c r="AC15" s="189"/>
    </row>
    <row r="16" spans="2:29" ht="12" thickBot="1" x14ac:dyDescent="0.25">
      <c r="B16" s="29" t="s">
        <v>1966</v>
      </c>
      <c r="C16" s="90" t="s">
        <v>1868</v>
      </c>
      <c r="D16" s="96" t="s">
        <v>1869</v>
      </c>
      <c r="E16" s="47">
        <v>10</v>
      </c>
      <c r="F16" s="48" t="s">
        <v>660</v>
      </c>
      <c r="G16" s="47">
        <v>3.6</v>
      </c>
      <c r="H16" s="224">
        <v>96</v>
      </c>
      <c r="I16" s="224">
        <f>ROUNDUP(Tabela1369[[#This Row],[OLD PRICE]]*(1+PRICES!$C$8),0)</f>
        <v>116</v>
      </c>
      <c r="J16" s="49">
        <v>5.15</v>
      </c>
      <c r="K16" s="49">
        <f>Tabela1369[[#This Row],[OLD PRICE]]*Tabela1369[[#This Row],[DISCOUNT per piece '[%']]]</f>
        <v>494.40000000000003</v>
      </c>
      <c r="L16" s="49">
        <f>Tabela1369[[#This Row],[OLD PRICE]]*(1-Tabela1369[[#This Row],[DISCOUNT per piece '[%']]])</f>
        <v>-398.40000000000003</v>
      </c>
      <c r="M16" s="178">
        <f>Tabela1369[[#This Row],[SETS]]*Tabela1369[[#This Row],[PROMOTIONAL PRICE]]</f>
        <v>0</v>
      </c>
      <c r="N16" s="498" cm="1">
        <f t="array" ref="N16">ROUNDUP(Tabela1369[[#This Row],[NEW PRICE]]*eurofxref_daily[],2)</f>
        <v>186.63</v>
      </c>
      <c r="O16" s="510">
        <f>Tabela1369[[#This Row],[CAD PRICE]]*P16</f>
        <v>0</v>
      </c>
      <c r="P16" s="188">
        <f>SUM(S16:AB16)</f>
        <v>0</v>
      </c>
      <c r="Q16" s="187">
        <f t="shared" si="2"/>
        <v>0</v>
      </c>
      <c r="R16" s="195">
        <f t="shared" si="3"/>
        <v>0</v>
      </c>
      <c r="S16" s="482"/>
      <c r="T16" s="486"/>
      <c r="U16" s="466"/>
      <c r="V16" s="435"/>
      <c r="W16" s="467"/>
      <c r="X16" s="468"/>
      <c r="Y16" s="436"/>
      <c r="Z16" s="470"/>
      <c r="AA16" s="469"/>
      <c r="AB16" s="449"/>
      <c r="AC16" s="189"/>
    </row>
    <row r="17" spans="2:29" ht="12" thickBot="1" x14ac:dyDescent="0.25">
      <c r="B17" s="29" t="s">
        <v>1967</v>
      </c>
      <c r="C17" s="90" t="s">
        <v>1902</v>
      </c>
      <c r="D17" s="96" t="s">
        <v>1955</v>
      </c>
      <c r="E17" s="47">
        <v>10</v>
      </c>
      <c r="F17" s="48" t="s">
        <v>1444</v>
      </c>
      <c r="G17" s="47">
        <v>3.6</v>
      </c>
      <c r="H17" s="224">
        <v>69</v>
      </c>
      <c r="I17" s="224">
        <f>ROUNDUP(Tabela1369[[#This Row],[OLD PRICE]]*(1+PRICES!$C$8),0)</f>
        <v>83</v>
      </c>
      <c r="J17" s="158">
        <v>0.15</v>
      </c>
      <c r="K17" s="49">
        <f>Tabela1369[[#This Row],[OLD PRICE]]*Tabela1369[[#This Row],[DISCOUNT per piece '[%']]]</f>
        <v>10.35</v>
      </c>
      <c r="L17" s="49">
        <f>Tabela1369[[#This Row],[OLD PRICE]]*(1-Tabela1369[[#This Row],[DISCOUNT per piece '[%']]])</f>
        <v>58.65</v>
      </c>
      <c r="M17" s="178">
        <f>Tabela1369[[#This Row],[SETS]]*Tabela1369[[#This Row],[PROMOTIONAL PRICE]]</f>
        <v>0</v>
      </c>
      <c r="N17" s="498" cm="1">
        <f t="array" ref="N17">ROUNDUP(Tabela1369[[#This Row],[NEW PRICE]]*eurofxref_daily[],2)</f>
        <v>133.54</v>
      </c>
      <c r="O17" s="510">
        <f>Tabela1369[[#This Row],[CAD PRICE]]*P17</f>
        <v>0</v>
      </c>
      <c r="P17" s="188">
        <f>SUM(S17:AB17)</f>
        <v>0</v>
      </c>
      <c r="Q17" s="187">
        <f t="shared" si="2"/>
        <v>0</v>
      </c>
      <c r="R17" s="195">
        <f t="shared" si="3"/>
        <v>0</v>
      </c>
      <c r="S17" s="482"/>
      <c r="T17" s="486"/>
      <c r="U17" s="466"/>
      <c r="V17" s="435"/>
      <c r="W17" s="467"/>
      <c r="X17" s="468"/>
      <c r="Y17" s="436"/>
      <c r="Z17" s="470"/>
      <c r="AA17" s="469"/>
      <c r="AB17" s="449"/>
      <c r="AC17" s="189"/>
    </row>
    <row r="18" spans="2:29" ht="12" thickBot="1" x14ac:dyDescent="0.25">
      <c r="B18" s="29" t="s">
        <v>906</v>
      </c>
      <c r="C18" s="92" t="s">
        <v>900</v>
      </c>
      <c r="D18" s="96" t="s">
        <v>1212</v>
      </c>
      <c r="E18" s="47">
        <v>10</v>
      </c>
      <c r="F18" s="48" t="s">
        <v>660</v>
      </c>
      <c r="G18" s="47">
        <v>3.72</v>
      </c>
      <c r="H18" s="224">
        <v>85</v>
      </c>
      <c r="I18" s="224">
        <f>ROUNDUP(Tabela1369[[#This Row],[OLD PRICE]]*(1+PRICES!$C$8),0)</f>
        <v>102</v>
      </c>
      <c r="J18" s="175">
        <v>0.15</v>
      </c>
      <c r="K18" s="49">
        <f>Tabela1369[[#This Row],[OLD PRICE]]*Tabela1369[[#This Row],[DISCOUNT per piece '[%']]]</f>
        <v>12.75</v>
      </c>
      <c r="L18" s="49">
        <f>Tabela1369[[#This Row],[OLD PRICE]]*(1-Tabela1369[[#This Row],[DISCOUNT per piece '[%']]])</f>
        <v>72.25</v>
      </c>
      <c r="M18" s="178">
        <f>Tabela1369[[#This Row],[SETS]]*Tabela1369[[#This Row],[PROMOTIONAL PRICE]]</f>
        <v>0</v>
      </c>
      <c r="N18" s="498" cm="1">
        <f t="array" ref="N18">ROUNDUP(Tabela1369[[#This Row],[NEW PRICE]]*eurofxref_daily[],2)</f>
        <v>164.1</v>
      </c>
      <c r="O18" s="510">
        <f>Tabela1369[[#This Row],[CAD PRICE]]*P18</f>
        <v>0</v>
      </c>
      <c r="P18" s="187">
        <f t="shared" si="4"/>
        <v>0</v>
      </c>
      <c r="Q18" s="187">
        <f t="shared" si="2"/>
        <v>0</v>
      </c>
      <c r="R18" s="188">
        <f t="shared" si="3"/>
        <v>0</v>
      </c>
      <c r="S18" s="482"/>
      <c r="T18" s="486"/>
      <c r="U18" s="466"/>
      <c r="V18" s="435"/>
      <c r="W18" s="467"/>
      <c r="X18" s="468"/>
      <c r="Y18" s="436"/>
      <c r="Z18" s="470"/>
      <c r="AA18" s="469"/>
      <c r="AB18" s="449"/>
      <c r="AC18" s="189"/>
    </row>
    <row r="19" spans="2:29" ht="12" thickBot="1" x14ac:dyDescent="0.25">
      <c r="B19" s="29" t="s">
        <v>1968</v>
      </c>
      <c r="C19" s="90" t="s">
        <v>1860</v>
      </c>
      <c r="D19" s="97" t="s">
        <v>1861</v>
      </c>
      <c r="E19" s="190">
        <v>10</v>
      </c>
      <c r="F19" s="191" t="s">
        <v>660</v>
      </c>
      <c r="G19" s="190">
        <v>3.6</v>
      </c>
      <c r="H19" s="224">
        <v>101</v>
      </c>
      <c r="I19" s="224">
        <f>ROUNDUP(Tabela1369[[#This Row],[OLD PRICE]]*(1+PRICES!$C$8),0)</f>
        <v>122</v>
      </c>
      <c r="J19" s="49">
        <v>1.1499999999999999</v>
      </c>
      <c r="K19" s="49">
        <f>Tabela1369[[#This Row],[OLD PRICE]]*Tabela1369[[#This Row],[DISCOUNT per piece '[%']]]</f>
        <v>116.14999999999999</v>
      </c>
      <c r="L19" s="49">
        <f>Tabela1369[[#This Row],[OLD PRICE]]*(1-Tabela1369[[#This Row],[DISCOUNT per piece '[%']]])</f>
        <v>-15.149999999999991</v>
      </c>
      <c r="M19" s="178">
        <f>Tabela1369[[#This Row],[SETS]]*Tabela1369[[#This Row],[PROMOTIONAL PRICE]]</f>
        <v>0</v>
      </c>
      <c r="N19" s="498" cm="1">
        <f t="array" ref="N19">ROUNDUP(Tabela1369[[#This Row],[NEW PRICE]]*eurofxref_daily[],2)</f>
        <v>196.28</v>
      </c>
      <c r="O19" s="510">
        <f>Tabela1369[[#This Row],[CAD PRICE]]*P19</f>
        <v>0</v>
      </c>
      <c r="P19" s="195">
        <f>SUM(S19:AB19)</f>
        <v>0</v>
      </c>
      <c r="Q19" s="187">
        <f t="shared" si="2"/>
        <v>0</v>
      </c>
      <c r="R19" s="195">
        <f t="shared" si="3"/>
        <v>0</v>
      </c>
      <c r="S19" s="482"/>
      <c r="T19" s="486"/>
      <c r="U19" s="466"/>
      <c r="V19" s="435"/>
      <c r="W19" s="467"/>
      <c r="X19" s="468"/>
      <c r="Y19" s="436"/>
      <c r="Z19" s="470"/>
      <c r="AA19" s="469"/>
      <c r="AB19" s="449"/>
      <c r="AC19" s="189"/>
    </row>
    <row r="20" spans="2:29" ht="12" thickBot="1" x14ac:dyDescent="0.25">
      <c r="B20" s="29" t="s">
        <v>907</v>
      </c>
      <c r="C20" s="92" t="s">
        <v>901</v>
      </c>
      <c r="D20" s="96" t="s">
        <v>1213</v>
      </c>
      <c r="E20" s="47">
        <v>10</v>
      </c>
      <c r="F20" s="48" t="s">
        <v>659</v>
      </c>
      <c r="G20" s="47">
        <v>1.39</v>
      </c>
      <c r="H20" s="224">
        <v>69</v>
      </c>
      <c r="I20" s="224">
        <f>ROUNDUP(Tabela1369[[#This Row],[OLD PRICE]]*(1+PRICES!$C$8),0)</f>
        <v>83</v>
      </c>
      <c r="J20" s="175">
        <v>0.15</v>
      </c>
      <c r="K20" s="49">
        <f>Tabela1369[[#This Row],[OLD PRICE]]*Tabela1369[[#This Row],[DISCOUNT per piece '[%']]]</f>
        <v>10.35</v>
      </c>
      <c r="L20" s="49">
        <f>Tabela1369[[#This Row],[OLD PRICE]]*(1-Tabela1369[[#This Row],[DISCOUNT per piece '[%']]])</f>
        <v>58.65</v>
      </c>
      <c r="M20" s="178">
        <f>Tabela1369[[#This Row],[SETS]]*Tabela1369[[#This Row],[PROMOTIONAL PRICE]]</f>
        <v>0</v>
      </c>
      <c r="N20" s="498" cm="1">
        <f t="array" ref="N20">ROUNDUP(Tabela1369[[#This Row],[NEW PRICE]]*eurofxref_daily[],2)</f>
        <v>133.54</v>
      </c>
      <c r="O20" s="510">
        <f>Tabela1369[[#This Row],[CAD PRICE]]*P20</f>
        <v>0</v>
      </c>
      <c r="P20" s="187">
        <f t="shared" si="4"/>
        <v>0</v>
      </c>
      <c r="Q20" s="187">
        <f t="shared" si="2"/>
        <v>0</v>
      </c>
      <c r="R20" s="188">
        <f t="shared" si="3"/>
        <v>0</v>
      </c>
      <c r="S20" s="482"/>
      <c r="T20" s="486"/>
      <c r="U20" s="466"/>
      <c r="V20" s="435"/>
      <c r="W20" s="467"/>
      <c r="X20" s="468"/>
      <c r="Y20" s="436"/>
      <c r="Z20" s="470"/>
      <c r="AA20" s="469"/>
      <c r="AB20" s="449"/>
      <c r="AC20" s="189"/>
    </row>
    <row r="21" spans="2:29" ht="12" thickBot="1" x14ac:dyDescent="0.25">
      <c r="B21" s="29" t="s">
        <v>1969</v>
      </c>
      <c r="C21" s="90" t="s">
        <v>1901</v>
      </c>
      <c r="D21" s="96" t="s">
        <v>1956</v>
      </c>
      <c r="E21" s="47">
        <v>10</v>
      </c>
      <c r="F21" s="48" t="s">
        <v>660</v>
      </c>
      <c r="G21" s="47">
        <v>3.6</v>
      </c>
      <c r="H21" s="224">
        <v>85</v>
      </c>
      <c r="I21" s="224">
        <f>ROUNDUP(Tabela1369[[#This Row],[OLD PRICE]]*(1+PRICES!$C$8),0)</f>
        <v>102</v>
      </c>
      <c r="J21" s="158">
        <v>0.15</v>
      </c>
      <c r="K21" s="49">
        <f>Tabela1369[[#This Row],[OLD PRICE]]*Tabela1369[[#This Row],[DISCOUNT per piece '[%']]]</f>
        <v>12.75</v>
      </c>
      <c r="L21" s="49">
        <f>Tabela1369[[#This Row],[OLD PRICE]]*(1-Tabela1369[[#This Row],[DISCOUNT per piece '[%']]])</f>
        <v>72.25</v>
      </c>
      <c r="M21" s="178">
        <f>Tabela1369[[#This Row],[SETS]]*Tabela1369[[#This Row],[PROMOTIONAL PRICE]]</f>
        <v>0</v>
      </c>
      <c r="N21" s="498" cm="1">
        <f t="array" ref="N21">ROUNDUP(Tabela1369[[#This Row],[NEW PRICE]]*eurofxref_daily[],2)</f>
        <v>164.1</v>
      </c>
      <c r="O21" s="510">
        <f>Tabela1369[[#This Row],[CAD PRICE]]*P21</f>
        <v>0</v>
      </c>
      <c r="P21" s="188">
        <f>SUM(S21:AB21)</f>
        <v>0</v>
      </c>
      <c r="Q21" s="187">
        <f t="shared" si="2"/>
        <v>0</v>
      </c>
      <c r="R21" s="195">
        <f t="shared" si="3"/>
        <v>0</v>
      </c>
      <c r="S21" s="482"/>
      <c r="T21" s="486"/>
      <c r="U21" s="466"/>
      <c r="V21" s="435"/>
      <c r="W21" s="467"/>
      <c r="X21" s="468"/>
      <c r="Y21" s="436"/>
      <c r="Z21" s="470"/>
      <c r="AA21" s="469"/>
      <c r="AB21" s="449"/>
      <c r="AC21" s="189"/>
    </row>
    <row r="22" spans="2:29" ht="12" thickBot="1" x14ac:dyDescent="0.25">
      <c r="B22" s="29" t="s">
        <v>908</v>
      </c>
      <c r="C22" s="93" t="s">
        <v>902</v>
      </c>
      <c r="D22" s="97" t="s">
        <v>1214</v>
      </c>
      <c r="E22" s="190">
        <v>10</v>
      </c>
      <c r="F22" s="191" t="s">
        <v>660</v>
      </c>
      <c r="G22" s="190">
        <v>3.6</v>
      </c>
      <c r="H22" s="224">
        <v>101</v>
      </c>
      <c r="I22" s="224">
        <f>ROUNDUP(Tabela1369[[#This Row],[OLD PRICE]]*(1+PRICES!$C$8),0)</f>
        <v>122</v>
      </c>
      <c r="J22" s="175">
        <v>0.15</v>
      </c>
      <c r="K22" s="49">
        <f>Tabela1369[[#This Row],[OLD PRICE]]*Tabela1369[[#This Row],[DISCOUNT per piece '[%']]]</f>
        <v>15.149999999999999</v>
      </c>
      <c r="L22" s="49">
        <f>Tabela1369[[#This Row],[OLD PRICE]]*(1-Tabela1369[[#This Row],[DISCOUNT per piece '[%']]])</f>
        <v>85.85</v>
      </c>
      <c r="M22" s="178">
        <f>Tabela1369[[#This Row],[SETS]]*Tabela1369[[#This Row],[PROMOTIONAL PRICE]]</f>
        <v>0</v>
      </c>
      <c r="N22" s="498" cm="1">
        <f t="array" ref="N22">ROUNDUP(Tabela1369[[#This Row],[NEW PRICE]]*eurofxref_daily[],2)</f>
        <v>196.28</v>
      </c>
      <c r="O22" s="510">
        <f>Tabela1369[[#This Row],[CAD PRICE]]*P22</f>
        <v>0</v>
      </c>
      <c r="P22" s="194">
        <f t="shared" si="4"/>
        <v>0</v>
      </c>
      <c r="Q22" s="187">
        <f t="shared" si="2"/>
        <v>0</v>
      </c>
      <c r="R22" s="195">
        <f t="shared" si="3"/>
        <v>0</v>
      </c>
      <c r="S22" s="482"/>
      <c r="T22" s="486"/>
      <c r="U22" s="466"/>
      <c r="V22" s="435"/>
      <c r="W22" s="467"/>
      <c r="X22" s="468"/>
      <c r="Y22" s="436"/>
      <c r="Z22" s="470"/>
      <c r="AA22" s="469"/>
      <c r="AB22" s="449"/>
      <c r="AC22" s="196"/>
    </row>
    <row r="23" spans="2:29" ht="12" thickBot="1" x14ac:dyDescent="0.25">
      <c r="C23" s="417" t="s">
        <v>1986</v>
      </c>
      <c r="D23" s="413"/>
      <c r="E23" s="408"/>
      <c r="F23" s="401"/>
      <c r="G23" s="408"/>
      <c r="H23" s="348"/>
      <c r="I23" s="414"/>
      <c r="J23" s="414"/>
      <c r="K23" s="348"/>
      <c r="L23" s="348"/>
      <c r="M23" s="415"/>
      <c r="N23" s="408"/>
      <c r="O23" s="348"/>
      <c r="P23" s="414"/>
      <c r="Q23" s="349"/>
      <c r="R23" s="228"/>
      <c r="S23" s="479"/>
      <c r="T23" s="80"/>
      <c r="U23" s="80"/>
      <c r="V23" s="80"/>
      <c r="W23" s="80"/>
      <c r="X23" s="80"/>
      <c r="Y23" s="80"/>
      <c r="Z23" s="80"/>
      <c r="AA23" s="457"/>
      <c r="AB23" s="454"/>
      <c r="AC23" s="221"/>
    </row>
    <row r="24" spans="2:29" x14ac:dyDescent="0.2">
      <c r="C24" s="90" t="s">
        <v>1973</v>
      </c>
      <c r="D24" s="96" t="s">
        <v>1974</v>
      </c>
      <c r="E24" s="47">
        <v>10</v>
      </c>
      <c r="F24" s="48" t="s">
        <v>1421</v>
      </c>
      <c r="G24" s="47">
        <v>4.5999999999999996</v>
      </c>
      <c r="H24" s="49">
        <v>147</v>
      </c>
      <c r="I24" s="376">
        <f>ROUNDUP(Tabela1369[[#This Row],[OLD PRICE]]*(1+PRICES!$C$8),0)</f>
        <v>177</v>
      </c>
      <c r="J24" s="511">
        <v>0.15</v>
      </c>
      <c r="K24" s="192">
        <f>Tabela1369[[#This Row],[OLD PRICE]]*Tabela1369[[#This Row],[DISCOUNT per piece '[%']]]</f>
        <v>22.05</v>
      </c>
      <c r="L24" s="192">
        <f>Tabela1369[[#This Row],[OLD PRICE]]*(1-Tabela1369[[#This Row],[DISCOUNT per piece '[%']]])</f>
        <v>124.95</v>
      </c>
      <c r="M24" s="193">
        <f>Tabela1369[[#This Row],[SETS]]*Tabela1369[[#This Row],[PROMOTIONAL PRICE]]</f>
        <v>0</v>
      </c>
      <c r="N24" s="500" cm="1">
        <f t="array" ref="N24">ROUNDUP(Tabela1369[[#This Row],[NEW PRICE]]*eurofxref_daily[],2)</f>
        <v>284.76</v>
      </c>
      <c r="O24" s="512">
        <f>Tabela1369[[#This Row],[CAD PRICE]]*P24</f>
        <v>0</v>
      </c>
      <c r="P24" s="188">
        <f>SUM(S24:AB24)</f>
        <v>0</v>
      </c>
      <c r="Q24" s="187">
        <f>P24*E24</f>
        <v>0</v>
      </c>
      <c r="R24" s="188">
        <f>P24*G24</f>
        <v>0</v>
      </c>
      <c r="S24" s="482"/>
      <c r="T24" s="486"/>
      <c r="U24" s="466"/>
      <c r="V24" s="435"/>
      <c r="W24" s="467"/>
      <c r="X24" s="468"/>
      <c r="Y24" s="436"/>
      <c r="Z24" s="470"/>
      <c r="AA24" s="469"/>
      <c r="AB24" s="449"/>
      <c r="AC24" s="159"/>
    </row>
    <row r="25" spans="2:29" hidden="1" x14ac:dyDescent="0.2">
      <c r="C25" s="417" t="s">
        <v>1986</v>
      </c>
      <c r="D25" s="413"/>
      <c r="E25" s="408"/>
      <c r="F25" s="401"/>
      <c r="G25" s="408"/>
      <c r="H25" s="348"/>
      <c r="I25" s="348"/>
      <c r="J25" s="414"/>
      <c r="K25" s="348"/>
      <c r="L25" s="348"/>
      <c r="M25" s="415"/>
      <c r="N25" s="415"/>
      <c r="O25" s="510">
        <f>Tabela1369[[#This Row],[CAD PRICE]]*P25</f>
        <v>0</v>
      </c>
      <c r="P25" s="228"/>
      <c r="Q25" s="349"/>
      <c r="R25" s="228"/>
      <c r="S25" s="81"/>
      <c r="T25" s="81"/>
      <c r="U25" s="81"/>
      <c r="V25" s="81"/>
      <c r="W25" s="81"/>
      <c r="X25" s="81"/>
      <c r="Y25" s="81"/>
      <c r="Z25" s="81"/>
      <c r="AA25" s="454"/>
      <c r="AB25" s="454"/>
      <c r="AC25" s="159"/>
    </row>
    <row r="26" spans="2:29" hidden="1" x14ac:dyDescent="0.2">
      <c r="C26" s="90" t="s">
        <v>1973</v>
      </c>
      <c r="D26" s="96" t="s">
        <v>1987</v>
      </c>
      <c r="E26" s="47">
        <v>10</v>
      </c>
      <c r="F26" s="48" t="s">
        <v>1421</v>
      </c>
      <c r="G26" s="47">
        <v>10</v>
      </c>
      <c r="H26" s="49">
        <v>147</v>
      </c>
      <c r="I26" s="49"/>
      <c r="J26" s="158">
        <v>0.15</v>
      </c>
      <c r="K26" s="49">
        <f>Tabela1369[[#This Row],[OLD PRICE]]*Tabela1369[[#This Row],[DISCOUNT per piece '[%']]]</f>
        <v>22.05</v>
      </c>
      <c r="L26" s="49">
        <f>Tabela1369[[#This Row],[OLD PRICE]]*(1-Tabela1369[[#This Row],[DISCOUNT per piece '[%']]])</f>
        <v>124.95</v>
      </c>
      <c r="M26" s="178">
        <f>Tabela1369[[#This Row],[SETS]]*Tabela1369[[#This Row],[PROMOTIONAL PRICE]]</f>
        <v>0</v>
      </c>
      <c r="N26" s="178"/>
      <c r="O26" s="510">
        <f>Tabela1369[[#This Row],[CAD PRICE]]*P26</f>
        <v>0</v>
      </c>
      <c r="P26" s="188">
        <f>SUM(S26:AB26)</f>
        <v>0</v>
      </c>
      <c r="Q26" s="187">
        <f>P26*E26</f>
        <v>0</v>
      </c>
      <c r="R26" s="188">
        <f>P26*G26</f>
        <v>0</v>
      </c>
      <c r="S26" s="98"/>
      <c r="T26" s="99"/>
      <c r="U26" s="100"/>
      <c r="V26" s="101"/>
      <c r="W26" s="102"/>
      <c r="X26" s="103"/>
      <c r="Y26" s="104"/>
      <c r="Z26" s="105"/>
      <c r="AA26" s="463"/>
      <c r="AB26" s="464"/>
      <c r="AC26" s="159"/>
    </row>
  </sheetData>
  <sheetProtection algorithmName="SHA-512" hashValue="v1fS/cz4rDfLjoyLcoShQuJc2BbB60Hc3NfVR6s+0h6ML0EoZ0hWEFvlh+7gZz0IDEM+NebFBTBldPZKfh4f5g==" saltValue="+w/p7yOfm2/E9SW/s9bh5Q==" spinCount="100000" sheet="1" objects="1" scenarios="1"/>
  <mergeCells count="6">
    <mergeCell ref="C3:D3"/>
    <mergeCell ref="C4:D4"/>
    <mergeCell ref="E3:F3"/>
    <mergeCell ref="E4:F4"/>
    <mergeCell ref="AA2:AB2"/>
    <mergeCell ref="O4:P4"/>
  </mergeCells>
  <phoneticPr fontId="14" type="noConversion"/>
  <hyperlinks>
    <hyperlink ref="C12" r:id="rId1" display="https://climbinggymheaven.com/product/sponges/" xr:uid="{2CF86F48-7D3C-407C-9565-52795E84BD24}"/>
    <hyperlink ref="C13" r:id="rId2" display="https://climbinggymheaven.com/product/limestone-flakes/" xr:uid="{91E9E060-F60E-42F3-8A17-22CE6C0D4717}"/>
    <hyperlink ref="C15" r:id="rId3" xr:uid="{9CA148D6-F9D8-4421-AD52-8BFDDEF2A466}"/>
    <hyperlink ref="C18" r:id="rId4" xr:uid="{F9B5361C-835E-415E-851E-41AABCF290A3}"/>
    <hyperlink ref="C20" r:id="rId5" xr:uid="{62053294-BB2C-40C4-99B1-0D2CF0A0580A}"/>
    <hyperlink ref="C22" r:id="rId6" xr:uid="{E7581E94-E8D8-491A-99C7-E687030A4402}"/>
    <hyperlink ref="C17" r:id="rId7" xr:uid="{B1D39F8A-0537-48FA-B237-0958566FC62A}"/>
    <hyperlink ref="C21" r:id="rId8" xr:uid="{1031C9DC-2DFF-4E4C-9188-301F3A40CF2E}"/>
    <hyperlink ref="C9" r:id="rId9" xr:uid="{E74F220C-21B1-471F-8F03-1FE2842D8BCA}"/>
    <hyperlink ref="C10" r:id="rId10" xr:uid="{4255D83F-DE74-4BE1-B837-95D60D282DB0}"/>
    <hyperlink ref="C11" r:id="rId11" xr:uid="{06D1BB39-3CF2-4526-9B0C-E9284791BA3B}"/>
    <hyperlink ref="C14" r:id="rId12" xr:uid="{77958DC8-C0E4-4003-B84F-A4C460E8E9C4}"/>
    <hyperlink ref="C16" r:id="rId13" xr:uid="{80078331-7D8D-4E07-BAA6-2AACF8546036}"/>
    <hyperlink ref="C19" r:id="rId14" xr:uid="{1F861FAF-12BE-4E78-945C-E31BC648BF41}"/>
    <hyperlink ref="C24" r:id="rId15" display="Old pots" xr:uid="{20DEBFEE-8EF0-4443-AF25-DEBE63D23AE9}"/>
    <hyperlink ref="C8" r:id="rId16" xr:uid="{D34F0494-C181-4E89-B7C1-702788BB3CC8}"/>
    <hyperlink ref="C25" r:id="rId17" display="PE PRODUCTS" xr:uid="{338F3BC8-BD03-4268-8CF9-62C42D9EAB21}"/>
    <hyperlink ref="C26" r:id="rId18" display="Old pots" xr:uid="{BA156F9A-8BBD-4E43-A9D5-44D38FD51A67}"/>
    <hyperlink ref="C23" r:id="rId19" display="PE PRODUCTS" xr:uid="{04DD2FB8-3F7E-4315-8605-A43533EC618D}"/>
  </hyperlinks>
  <pageMargins left="0.7" right="0.7" top="0.75" bottom="0.75" header="0.3" footer="0.3"/>
  <pageSetup paperSize="9" scale="56" orientation="portrait" r:id="rId20"/>
  <drawing r:id="rId21"/>
  <tableParts count="1">
    <tablePart r:id="rId2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2 9 b e c e b - 8 8 8 2 - 4 9 7 5 - 8 d 0 5 - 5 7 c 6 a b 4 f d e 9 4 "   x m l n s = " h t t p : / / s c h e m a s . m i c r o s o f t . c o m / D a t a M a s h u p " > A A A A A O k E A A B Q S w M E F A A C A A g A g X O t X D 0 M J 7 i m A A A A 9 g A A A B I A H A B D b 2 5 m a W c v U G F j a 2 F n Z S 5 4 b W w g o h g A K K A U A A A A A A A A A A A A A A A A A A A A A A A A A A A A h Y 8 x D o I w G I W v Q r r T F t B g y E 8 Z n E w k M S E x r k 2 p 0 A j F 0 G K 5 m 4 N H 8 g p i F H V z f N / 7 h v f u 1 x t k Y 9 t 4 F 9 k b 1 e k U B Z g i T 2 r R l U p X K R r s 0 V + h j M G O i x O v p D f J 2 i S j K V N U W 3 t O C H H O Y R f h r q 9 I S G l A D v m 2 E L V s O f r I 6 r / s K 2 0 s 1 0 I i B v v X G B b i Y L n A U R x j C m S G k C v 9 F c J p 7 7 P 9 g b A e G j v 0 k p n G L z Z A 5 g j k / Y E 9 A F B L A w Q U A A I A C A C B c 6 1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X O t X M 2 Y V B / h A Q A A R Q k A A B M A H A B G b 3 J t d W x h c y 9 T Z W N 0 a W 9 u M S 5 t I K I Y A C i g F A A A A A A A A A A A A A A A A A A A A A A A A A A A A L 2 W U W v b M B S F 3 w P 5 D 0 J 5 c c C R 0 z 6 N l j 5 0 X t u X w c D J 6 G C M I T s 3 s 4 c s B e m 6 T g j + 7 5 O j N m 6 c 0 t J W q 1 9 k J H z v d 8 6 x L R n I s F C S z N x 4 c j 4 c D A c m 5 x o W Z E S h 0 m q 5 1 r C c L H g h N p R c E A E 4 H B B 7 z V S l M 7 A z P 0 r B 5 j w V Y I J b S F m s J I J E E 9 A c c W X O o q i u a w Z Z y t p q K 2 6 H y C B H E + 2 r R 7 0 + b F 0 K O h 6 H r t G I x j m X f y z Q f L O C l m H X j c 0 1 l 2 a p d B k r U Z W y X T S B o w q 3 W 2 q q 9 K 8 V R U O C d o U g r L F p u p p X 6 x W X C 1 u 0 p X w E W U i M 7 l T G 0 0 p w v Y l O p 9 P T y f T T Z H r S Q X Y I r s j u 3 k E E P d i Q 0 D f U D 8 m W x l U K t G n v X l + A u Y e 9 i H W 1 n l X 8 H i v f Z J B j 8 u K S d 6 v + r 1 8 P y t 8 n d + + c L X S J q I u 0 Q j j D o v T g p R d C 1 q f y n M 8 H h O T H h 3 1 c n S F Z p T X I b H M Y n u b o K z x 2 2 M u L B t Y n 7 Q K 9 L g R C u 9 0 k q j Z d J j M Q 9 u / d z v k K 4 8 F M 4 F l O g p 8 j / 0 7 9 s v Q 0 v v z y e O 9 K o F R 3 l v w b 5 q C J e 7 2 O Z N 5 P B 3 0 3 Q r 9 x 9 q 1 P Q P L S 9 j q i c g s d 1 d M i 2 l 3 W O 5 5 9 2 6 6 + J 9 b E 3 8 m O t n n 6 G E D q A n P y 1 b Y S L x 0 J j n X a z 2 R 7 0 O X + j C C r M g X d 2 M + I g p z c f K b j 4 a C Q L 7 Y / / w d Q S w E C L Q A U A A I A C A C B c 6 1 c P Q w n u K Y A A A D 2 A A A A E g A A A A A A A A A A A A A A A A A A A A A A Q 2 9 u Z m l n L 1 B h Y 2 t h Z 2 U u e G 1 s U E s B A i 0 A F A A C A A g A g X O t X A / K 6 a u k A A A A 6 Q A A A B M A A A A A A A A A A A A A A A A A 8 g A A A F t D b 2 5 0 Z W 5 0 X 1 R 5 c G V z X S 5 4 b W x Q S w E C L Q A U A A I A C A C B c 6 1 c z Z h U H + E B A A B F C Q A A E w A A A A A A A A A A A A A A A A D j A Q A A R m 9 y b X V s Y X M v U 2 V j d G l v b j E u b V B L B Q Y A A A A A A w A D A M I A A A A R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s D g A A A A A A A E o O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l d X J v Z n h y Z W Y t Z G F p b H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h M G M y O G I 1 O C 1 j Y T U 1 L T R k N W Y t O D g w M C 0 3 Z T U 4 Y m Y 5 Z T g 0 N T g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1 L T E z V D E y O j I 4 O j A z L j c z M z c 0 N j N a I i A v P j x F b n R y e S B U e X B l P S J G a W x s Q 2 9 s d W 1 u V H l w Z X M i I F Z h b H V l P S J z Q l E 9 P S I g L z 4 8 R W 5 0 c n k g V H l w Z T 0 i R m l s b E N v b H V t b k 5 h b W V z I i B W Y W x 1 Z T 0 i c 1 s m c X V v d D t F V V J D Q U R f U m F 0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1 c m 9 m e H J l Z i 1 k Y W l s e S 9 B d X R v U m V t b 3 Z l Z E N v b H V t b n M x L n t F V V J D Q U R f U m F 0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l d X J v Z n h y Z W Y t Z G F p b H k v Q X V 0 b 1 J l b W 9 2 Z W R D b 2 x 1 b W 5 z M S 5 7 R V V S Q 0 F E X 1 J h d G U s M H 0 m c X V v d D t d L C Z x d W 9 0 O 1 J l b G F 0 a W 9 u c 2 h p c E l u Z m 8 m c X V v d D s 6 W 1 1 9 I i A v P j x F b n R y e S B U e X B l P S J G a W x s V G F y Z 2 V 0 I i B W Y W x 1 Z T 0 i c 2 V 1 c m 9 m e H J l Z l 9 k Y W l s e S I g L z 4 8 R W 5 0 c n k g V H l w Z T 0 i R m l s b G V k Q 2 9 t c G x l d G V S Z X N 1 b H R U b 1 d v c m t z a G V l d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V 1 c m 9 m e H J l Z i 1 k Y W l s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Z G F p b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Z G F p b H k v R X h w Y W 5 k Z W Q l M j B o d H R w J T N B J T J G J T J G d 3 d 3 L m V j Y i 5 p b n Q l M k Z 2 b 2 N h Y n V s Y X J 5 J T J G M j A w M i 0 w O C 0 w M S U y R m V 1 c m 9 m e H J l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k Y W l s e S 9 F e H B h b m R l Z C U y M G h 0 d H A l M 0 E l M k Y l M k Z 3 d 3 c u Z W N i L m l u d C U y R n Z v Y 2 F i d W x h c n k l M k Y y M D A y L T A 4 L T A x J T J G Z X V y b 2 Z 4 c m V m L k N 1 Y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Z G F p b H k v R X h w Y W 5 k Z W Q l M j B o d H R w J T N B J T J G J T J G d 3 d 3 L m V j Y i 5 p b n Q l M k Z 2 b 2 N h Y n V s Y X J 5 J T J G M j A w M i 0 w O C 0 w M S U y R m V 1 c m 9 m e H J l Z i 5 D d W J l L k N 1 Y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Z G F p b H k v R X h w Y W 5 k Z W Q l M j B o d H R w J T N B J T J G J T J G d 3 d 3 L m V j Y i 5 p b n Q l M k Z 2 b 2 N h Y n V s Y X J 5 J T J G M j A w M i 0 w O C 0 w M S U y R m V 1 c m 9 m e H J l Z i 5 D d W J l L k N 1 Y m U u Q 3 V i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k Y W l s e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X J v Z n h y Z W Y t Z G F p b H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k Y W l s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1 c m 9 m e H J l Z i 1 k Y W l s e S 9 D a G F u Z 2 V k J T I w V H l w Z S U y M H d p d G g l M j B M b 2 N h b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r 2 J P O T V S r E a x l T n x P T V x v w A A A A A C A A A A A A A Q Z g A A A A E A A C A A A A D e W E R A 6 T k e h / 7 X r X F K z o g b y Y F x J c T G 8 H 0 0 1 Y t c J z g G A Q A A A A A O g A A A A A I A A C A A A A A f Z O 6 f B 6 3 M 2 7 V Q q a q L f C I J Y q m A 3 7 X I Z A g Y c u U 1 d U 0 d w l A A A A D e K V 1 e 7 b I J D p w i q 5 7 h O 7 C m w w l I y j Y 4 Q i 5 K H j K t 1 Y + T p f b c W q l O X Y 2 I v h R d 8 D r C t v p W / a X I 3 m j q h R 3 j A y 9 c T s Z t k f q 7 4 R c T H y 1 B 7 N 2 R m W o l 0 U A A A A B T 2 m F + Q M x U y A + b s W U v n U C Q Q h f V K J 5 6 8 f 1 P g Q 1 4 + M h / n w 1 v 0 A Y l x p q p Y 6 A Y i D A C / i J f 9 y K y 9 y Q 0 L C / x c M I a + U W C < / D a t a M a s h u p > 
</file>

<file path=customXml/itemProps1.xml><?xml version="1.0" encoding="utf-8"?>
<ds:datastoreItem xmlns:ds="http://schemas.openxmlformats.org/officeDocument/2006/customXml" ds:itemID="{04FBBDF7-A413-4498-BF74-2C9534B5261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Summary of order</vt:lpstr>
      <vt:lpstr>Ilusion Insert</vt:lpstr>
      <vt:lpstr>Ilusion Carbon look</vt:lpstr>
      <vt:lpstr>ILW_Ilusion Wood</vt:lpstr>
      <vt:lpstr>ILM_Ilusion Macros</vt:lpstr>
      <vt:lpstr>INW_Infinity Wood</vt:lpstr>
      <vt:lpstr>INH_Infinity Holds</vt:lpstr>
      <vt:lpstr>CW_Climb1 Wood</vt:lpstr>
      <vt:lpstr>CWL_Climb Well Line</vt:lpstr>
      <vt:lpstr>KL_Kidz Line</vt:lpstr>
      <vt:lpstr>PRICES</vt:lpstr>
      <vt:lpstr>eurofxref-daily</vt:lpstr>
      <vt:lpstr>Order</vt:lpstr>
      <vt:lpstr>'CW_Climb1 Wood'!Print_Area</vt:lpstr>
      <vt:lpstr>'ILW_Ilusion Wood'!Print_Area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38640</dc:creator>
  <cp:lastModifiedBy>Prodaja  2</cp:lastModifiedBy>
  <cp:lastPrinted>2023-06-20T10:30:12Z</cp:lastPrinted>
  <dcterms:created xsi:type="dcterms:W3CDTF">2020-05-13T06:04:36Z</dcterms:created>
  <dcterms:modified xsi:type="dcterms:W3CDTF">2026-06-03T13:01:50Z</dcterms:modified>
</cp:coreProperties>
</file>